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0730" windowHeight="9390" tabRatio="719"/>
  </bookViews>
  <sheets>
    <sheet name="Area, Building" sheetId="10" r:id="rId1"/>
    <sheet name="Fee Structure" sheetId="1" r:id="rId2"/>
    <sheet name="Project Cost" sheetId="12" r:id="rId3"/>
    <sheet name="Fixed Assets" sheetId="2" r:id="rId4"/>
    <sheet name="Acc Dep" sheetId="11" r:id="rId5"/>
    <sheet name="Revenues" sheetId="9" r:id="rId6"/>
    <sheet name="Salary" sheetId="3" r:id="rId7"/>
    <sheet name="Income Statement" sheetId="6" r:id="rId8"/>
    <sheet name="Balance Sheet" sheetId="14" r:id="rId9"/>
    <sheet name="Cash Flow Statement" sheetId="7" r:id="rId10"/>
    <sheet name="PBP &amp; IRR" sheetId="15" r:id="rId11"/>
  </sheets>
  <calcPr calcId="145621"/>
</workbook>
</file>

<file path=xl/calcChain.xml><?xml version="1.0" encoding="utf-8"?>
<calcChain xmlns="http://schemas.openxmlformats.org/spreadsheetml/2006/main">
  <c r="H8" i="15" l="1"/>
  <c r="H6" i="15"/>
  <c r="H5" i="15"/>
  <c r="C8" i="15" l="1"/>
  <c r="I20" i="7"/>
  <c r="G22" i="7"/>
  <c r="F22" i="7"/>
  <c r="H20" i="7"/>
  <c r="G20" i="7"/>
  <c r="F20" i="7"/>
  <c r="E20" i="7"/>
  <c r="D20" i="7"/>
  <c r="C20" i="7"/>
  <c r="G19" i="7"/>
  <c r="F19" i="7"/>
  <c r="E19" i="7"/>
  <c r="D19" i="7"/>
  <c r="C19" i="7"/>
  <c r="E21" i="6" l="1"/>
  <c r="G21" i="14"/>
  <c r="E29" i="6"/>
  <c r="F29" i="6" s="1"/>
  <c r="G29" i="6" s="1"/>
  <c r="D29" i="6"/>
  <c r="C29" i="6"/>
  <c r="E7" i="14" l="1"/>
  <c r="M27" i="14"/>
  <c r="K27" i="14"/>
  <c r="I27" i="14"/>
  <c r="G27" i="14"/>
  <c r="E27" i="14"/>
  <c r="M23" i="14"/>
  <c r="K23" i="14"/>
  <c r="M12" i="14"/>
  <c r="K12" i="14"/>
  <c r="I12" i="14"/>
  <c r="G12" i="14"/>
  <c r="E12" i="14"/>
  <c r="M11" i="14"/>
  <c r="K11" i="14"/>
  <c r="I11" i="14"/>
  <c r="G11" i="14"/>
  <c r="E11" i="14"/>
  <c r="M10" i="14"/>
  <c r="K10" i="14"/>
  <c r="I10" i="14"/>
  <c r="G10" i="14"/>
  <c r="E10" i="14"/>
  <c r="C27" i="14"/>
  <c r="C12" i="14"/>
  <c r="C11" i="14"/>
  <c r="C10" i="14"/>
  <c r="E22" i="6"/>
  <c r="F22" i="6" s="1"/>
  <c r="G22" i="6" s="1"/>
  <c r="D22" i="6"/>
  <c r="C22" i="6"/>
  <c r="D5" i="7" l="1"/>
  <c r="G5" i="7"/>
  <c r="F5" i="7"/>
  <c r="E5" i="7"/>
  <c r="C5" i="7"/>
  <c r="I23" i="14"/>
  <c r="G23" i="14"/>
  <c r="I13" i="14"/>
  <c r="I14" i="14" s="1"/>
  <c r="C30" i="6"/>
  <c r="D30" i="6"/>
  <c r="G20" i="6"/>
  <c r="F20" i="6"/>
  <c r="E20" i="6"/>
  <c r="D20" i="6"/>
  <c r="C20" i="6"/>
  <c r="G18" i="6"/>
  <c r="F18" i="6"/>
  <c r="E18" i="6"/>
  <c r="D18" i="6"/>
  <c r="C18" i="6"/>
  <c r="G16" i="6"/>
  <c r="F16" i="6"/>
  <c r="E16" i="6"/>
  <c r="D16" i="6"/>
  <c r="C16" i="6"/>
  <c r="C11" i="6"/>
  <c r="D11" i="6" s="1"/>
  <c r="G9" i="6"/>
  <c r="F9" i="6"/>
  <c r="E9" i="6"/>
  <c r="D9" i="6"/>
  <c r="C9" i="6"/>
  <c r="G8" i="6"/>
  <c r="F8" i="6"/>
  <c r="E8" i="6"/>
  <c r="D8" i="6"/>
  <c r="C8" i="6"/>
  <c r="G6" i="6"/>
  <c r="F6" i="6"/>
  <c r="E6" i="6"/>
  <c r="D6" i="6"/>
  <c r="C6" i="6"/>
  <c r="G4" i="6"/>
  <c r="F4" i="6"/>
  <c r="E4" i="6"/>
  <c r="D4" i="6"/>
  <c r="C4" i="6"/>
  <c r="AA18" i="3"/>
  <c r="U18" i="3"/>
  <c r="O18" i="3"/>
  <c r="I18" i="3"/>
  <c r="Z17" i="3"/>
  <c r="Y17" i="3"/>
  <c r="T17" i="3"/>
  <c r="S17" i="3"/>
  <c r="N17" i="3"/>
  <c r="M17" i="3"/>
  <c r="H17" i="3"/>
  <c r="G17" i="3"/>
  <c r="C17" i="3"/>
  <c r="AA16" i="3"/>
  <c r="Z16" i="3"/>
  <c r="Y16" i="3"/>
  <c r="X16" i="3"/>
  <c r="U16" i="3"/>
  <c r="T16" i="3"/>
  <c r="S16" i="3"/>
  <c r="R16" i="3"/>
  <c r="O16" i="3"/>
  <c r="N16" i="3"/>
  <c r="M16" i="3"/>
  <c r="L16" i="3"/>
  <c r="I16" i="3"/>
  <c r="H16" i="3"/>
  <c r="G16" i="3"/>
  <c r="F16" i="3"/>
  <c r="C16" i="3"/>
  <c r="B16" i="3"/>
  <c r="AA15" i="3"/>
  <c r="Y15" i="3"/>
  <c r="X15" i="3"/>
  <c r="U15" i="3"/>
  <c r="S15" i="3"/>
  <c r="R15" i="3"/>
  <c r="O15" i="3"/>
  <c r="M15" i="3"/>
  <c r="L15" i="3"/>
  <c r="I15" i="3"/>
  <c r="G15" i="3"/>
  <c r="F15" i="3"/>
  <c r="C15" i="3"/>
  <c r="AA14" i="3"/>
  <c r="Y14" i="3"/>
  <c r="X14" i="3"/>
  <c r="U14" i="3"/>
  <c r="S14" i="3"/>
  <c r="R14" i="3"/>
  <c r="O14" i="3"/>
  <c r="M14" i="3"/>
  <c r="L14" i="3"/>
  <c r="I14" i="3"/>
  <c r="G14" i="3"/>
  <c r="F14" i="3"/>
  <c r="C14" i="3"/>
  <c r="AA13" i="3"/>
  <c r="Y13" i="3"/>
  <c r="X13" i="3"/>
  <c r="U13" i="3"/>
  <c r="S13" i="3"/>
  <c r="R13" i="3"/>
  <c r="O13" i="3"/>
  <c r="M13" i="3"/>
  <c r="L13" i="3"/>
  <c r="I13" i="3"/>
  <c r="G13" i="3"/>
  <c r="F13" i="3"/>
  <c r="C13" i="3"/>
  <c r="AA12" i="3"/>
  <c r="Y12" i="3"/>
  <c r="X12" i="3"/>
  <c r="U12" i="3"/>
  <c r="S12" i="3"/>
  <c r="R12" i="3"/>
  <c r="O12" i="3"/>
  <c r="M12" i="3"/>
  <c r="L12" i="3"/>
  <c r="I12" i="3"/>
  <c r="G12" i="3"/>
  <c r="F12" i="3"/>
  <c r="C12" i="3"/>
  <c r="AA11" i="3"/>
  <c r="Y11" i="3"/>
  <c r="X11" i="3"/>
  <c r="U11" i="3"/>
  <c r="S11" i="3"/>
  <c r="R11" i="3"/>
  <c r="O11" i="3"/>
  <c r="M11" i="3"/>
  <c r="L11" i="3"/>
  <c r="I11" i="3"/>
  <c r="G11" i="3"/>
  <c r="F11" i="3"/>
  <c r="C11" i="3"/>
  <c r="AA10" i="3"/>
  <c r="Y10" i="3"/>
  <c r="X10" i="3"/>
  <c r="U10" i="3"/>
  <c r="S10" i="3"/>
  <c r="R10" i="3"/>
  <c r="O10" i="3"/>
  <c r="M10" i="3"/>
  <c r="L10" i="3"/>
  <c r="I10" i="3"/>
  <c r="G10" i="3"/>
  <c r="F10" i="3"/>
  <c r="C10" i="3"/>
  <c r="AA9" i="3"/>
  <c r="Y9" i="3"/>
  <c r="X9" i="3"/>
  <c r="U9" i="3"/>
  <c r="S9" i="3"/>
  <c r="R9" i="3"/>
  <c r="O9" i="3"/>
  <c r="M9" i="3"/>
  <c r="L9" i="3"/>
  <c r="I9" i="3"/>
  <c r="G9" i="3"/>
  <c r="F9" i="3"/>
  <c r="C9" i="3"/>
  <c r="AA8" i="3"/>
  <c r="Y8" i="3"/>
  <c r="X8" i="3"/>
  <c r="U8" i="3"/>
  <c r="S8" i="3"/>
  <c r="R8" i="3"/>
  <c r="O8" i="3"/>
  <c r="M8" i="3"/>
  <c r="L8" i="3"/>
  <c r="I8" i="3"/>
  <c r="G8" i="3"/>
  <c r="F8" i="3"/>
  <c r="C8" i="3"/>
  <c r="AA7" i="3"/>
  <c r="Y7" i="3"/>
  <c r="X7" i="3"/>
  <c r="U7" i="3"/>
  <c r="S7" i="3"/>
  <c r="R7" i="3"/>
  <c r="O7" i="3"/>
  <c r="M7" i="3"/>
  <c r="L7" i="3"/>
  <c r="I7" i="3"/>
  <c r="G7" i="3"/>
  <c r="F7" i="3"/>
  <c r="C7" i="3"/>
  <c r="AA6" i="3"/>
  <c r="Y6" i="3"/>
  <c r="X6" i="3"/>
  <c r="U6" i="3"/>
  <c r="S6" i="3"/>
  <c r="R6" i="3"/>
  <c r="O6" i="3"/>
  <c r="M6" i="3"/>
  <c r="L6" i="3"/>
  <c r="I6" i="3"/>
  <c r="G6" i="3"/>
  <c r="F6" i="3"/>
  <c r="C6" i="3"/>
  <c r="AA5" i="3"/>
  <c r="Y5" i="3"/>
  <c r="X5" i="3"/>
  <c r="U5" i="3"/>
  <c r="S5" i="3"/>
  <c r="R5" i="3"/>
  <c r="O5" i="3"/>
  <c r="M5" i="3"/>
  <c r="L5" i="3"/>
  <c r="I5" i="3"/>
  <c r="G5" i="3"/>
  <c r="F5" i="3"/>
  <c r="C5" i="3"/>
  <c r="AA4" i="3"/>
  <c r="Y4" i="3"/>
  <c r="X4" i="3"/>
  <c r="U4" i="3"/>
  <c r="S4" i="3"/>
  <c r="R4" i="3"/>
  <c r="O4" i="3"/>
  <c r="M4" i="3"/>
  <c r="L4" i="3"/>
  <c r="I4" i="3"/>
  <c r="G4" i="3"/>
  <c r="F4" i="3"/>
  <c r="C4" i="3"/>
  <c r="AA3" i="3"/>
  <c r="Y3" i="3"/>
  <c r="X3" i="3"/>
  <c r="U3" i="3"/>
  <c r="S3" i="3"/>
  <c r="R3" i="3"/>
  <c r="O3" i="3"/>
  <c r="M3" i="3"/>
  <c r="L3" i="3"/>
  <c r="I3" i="3"/>
  <c r="G3" i="3"/>
  <c r="F3" i="3"/>
  <c r="C3" i="3"/>
  <c r="H33" i="9"/>
  <c r="C33" i="9"/>
  <c r="H32" i="9"/>
  <c r="C32" i="9"/>
  <c r="I31" i="9"/>
  <c r="H31" i="9"/>
  <c r="G31" i="9"/>
  <c r="D31" i="9"/>
  <c r="C31" i="9"/>
  <c r="B31" i="9"/>
  <c r="I30" i="9"/>
  <c r="H30" i="9"/>
  <c r="D30" i="9"/>
  <c r="C30" i="9"/>
  <c r="I29" i="9"/>
  <c r="H29" i="9"/>
  <c r="D29" i="9"/>
  <c r="C29" i="9"/>
  <c r="I28" i="9"/>
  <c r="H28" i="9"/>
  <c r="D28" i="9"/>
  <c r="C28" i="9"/>
  <c r="I27" i="9"/>
  <c r="H27" i="9"/>
  <c r="D27" i="9"/>
  <c r="C27" i="9"/>
  <c r="I26" i="9"/>
  <c r="H26" i="9"/>
  <c r="D26" i="9"/>
  <c r="C26" i="9"/>
  <c r="I25" i="9"/>
  <c r="H25" i="9"/>
  <c r="D25" i="9"/>
  <c r="C25" i="9"/>
  <c r="I24" i="9"/>
  <c r="H24" i="9"/>
  <c r="D24" i="9"/>
  <c r="C24" i="9"/>
  <c r="I23" i="9"/>
  <c r="H23" i="9"/>
  <c r="D23" i="9"/>
  <c r="C23" i="9"/>
  <c r="I22" i="9"/>
  <c r="H22" i="9"/>
  <c r="D22" i="9"/>
  <c r="C22" i="9"/>
  <c r="I21" i="9"/>
  <c r="H21" i="9"/>
  <c r="D21" i="9"/>
  <c r="C21" i="9"/>
  <c r="I20" i="9"/>
  <c r="H20" i="9"/>
  <c r="D20" i="9"/>
  <c r="C20" i="9"/>
  <c r="M16" i="9"/>
  <c r="H16" i="9"/>
  <c r="C16" i="9"/>
  <c r="M15" i="9"/>
  <c r="H15" i="9"/>
  <c r="C15" i="9"/>
  <c r="N14" i="9"/>
  <c r="M14" i="9"/>
  <c r="L14" i="9"/>
  <c r="I14" i="9"/>
  <c r="H14" i="9"/>
  <c r="G14" i="9"/>
  <c r="C14" i="9"/>
  <c r="B14" i="9"/>
  <c r="N13" i="9"/>
  <c r="M13" i="9"/>
  <c r="I13" i="9"/>
  <c r="H13" i="9"/>
  <c r="C13" i="9"/>
  <c r="N12" i="9"/>
  <c r="M12" i="9"/>
  <c r="I12" i="9"/>
  <c r="H12" i="9"/>
  <c r="C12" i="9"/>
  <c r="N11" i="9"/>
  <c r="M11" i="9"/>
  <c r="I11" i="9"/>
  <c r="H11" i="9"/>
  <c r="C11" i="9"/>
  <c r="N10" i="9"/>
  <c r="M10" i="9"/>
  <c r="I10" i="9"/>
  <c r="H10" i="9"/>
  <c r="C10" i="9"/>
  <c r="N9" i="9"/>
  <c r="M9" i="9"/>
  <c r="I9" i="9"/>
  <c r="H9" i="9"/>
  <c r="C9" i="9"/>
  <c r="N8" i="9"/>
  <c r="M8" i="9"/>
  <c r="I8" i="9"/>
  <c r="H8" i="9"/>
  <c r="C8" i="9"/>
  <c r="N7" i="9"/>
  <c r="M7" i="9"/>
  <c r="I7" i="9"/>
  <c r="H7" i="9"/>
  <c r="C7" i="9"/>
  <c r="N6" i="9"/>
  <c r="M6" i="9"/>
  <c r="I6" i="9"/>
  <c r="H6" i="9"/>
  <c r="C6" i="9"/>
  <c r="N5" i="9"/>
  <c r="M5" i="9"/>
  <c r="I5" i="9"/>
  <c r="H5" i="9"/>
  <c r="C5" i="9"/>
  <c r="N4" i="9"/>
  <c r="M4" i="9"/>
  <c r="I4" i="9"/>
  <c r="H4" i="9"/>
  <c r="C4" i="9"/>
  <c r="N3" i="9"/>
  <c r="M3" i="9"/>
  <c r="I3" i="9"/>
  <c r="H3" i="9"/>
  <c r="C3" i="9"/>
  <c r="I17" i="11"/>
  <c r="G17" i="11"/>
  <c r="D17" i="11"/>
  <c r="B17" i="11"/>
  <c r="I16" i="11"/>
  <c r="D16" i="11"/>
  <c r="G15" i="11"/>
  <c r="B15" i="11"/>
  <c r="G14" i="11"/>
  <c r="B14" i="11"/>
  <c r="G13" i="11"/>
  <c r="B13" i="11"/>
  <c r="G12" i="11"/>
  <c r="B12" i="11"/>
  <c r="N8" i="11"/>
  <c r="L8" i="11"/>
  <c r="I8" i="11"/>
  <c r="G8" i="11"/>
  <c r="D8" i="11"/>
  <c r="B8" i="11"/>
  <c r="N7" i="11"/>
  <c r="I7" i="11"/>
  <c r="D7" i="11"/>
  <c r="L6" i="11"/>
  <c r="G6" i="11"/>
  <c r="B6" i="11"/>
  <c r="L5" i="11"/>
  <c r="G5" i="11"/>
  <c r="B5" i="11"/>
  <c r="L4" i="11"/>
  <c r="G4" i="11"/>
  <c r="B4" i="11"/>
  <c r="L3" i="11"/>
  <c r="G3" i="11"/>
  <c r="E32" i="2"/>
  <c r="E30" i="2"/>
  <c r="D30" i="2"/>
  <c r="D29" i="2"/>
  <c r="D28" i="2"/>
  <c r="D27" i="2"/>
  <c r="D26" i="2"/>
  <c r="D25" i="2"/>
  <c r="E23" i="2"/>
  <c r="D23" i="2"/>
  <c r="D22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E5" i="2"/>
  <c r="D4" i="2"/>
  <c r="B10" i="12"/>
  <c r="C10" i="12" s="1"/>
  <c r="B7" i="12"/>
  <c r="G13" i="14" s="1"/>
  <c r="G14" i="14" s="1"/>
  <c r="B6" i="12"/>
  <c r="B5" i="12"/>
  <c r="C4" i="12"/>
  <c r="B4" i="12"/>
  <c r="D14" i="1"/>
  <c r="D13" i="1"/>
  <c r="D12" i="1"/>
  <c r="D11" i="1"/>
  <c r="D10" i="1"/>
  <c r="D9" i="1"/>
  <c r="D8" i="1"/>
  <c r="D7" i="1"/>
  <c r="D6" i="1"/>
  <c r="D5" i="1"/>
  <c r="D4" i="1"/>
  <c r="D3" i="1"/>
  <c r="D2" i="1"/>
  <c r="B14" i="10"/>
  <c r="C10" i="10"/>
  <c r="C14" i="10" s="1"/>
  <c r="C5" i="14" l="1"/>
  <c r="C7" i="14" s="1"/>
  <c r="C12" i="7"/>
  <c r="E11" i="6"/>
  <c r="C12" i="12"/>
  <c r="C26" i="6"/>
  <c r="C32" i="6" s="1"/>
  <c r="C36" i="6" s="1"/>
  <c r="K30" i="14"/>
  <c r="C30" i="14"/>
  <c r="C32" i="14" s="1"/>
  <c r="C34" i="14" s="1"/>
  <c r="I30" i="14"/>
  <c r="G30" i="14"/>
  <c r="M30" i="14"/>
  <c r="E30" i="14"/>
  <c r="C13" i="14"/>
  <c r="C14" i="14" s="1"/>
  <c r="C16" i="14" s="1"/>
  <c r="K13" i="14"/>
  <c r="K14" i="14" s="1"/>
  <c r="E13" i="14"/>
  <c r="E14" i="14" s="1"/>
  <c r="E16" i="14" s="1"/>
  <c r="M13" i="14"/>
  <c r="M14" i="14" s="1"/>
  <c r="E30" i="6" l="1"/>
  <c r="F11" i="6"/>
  <c r="E26" i="6"/>
  <c r="C4" i="7"/>
  <c r="C7" i="7" s="1"/>
  <c r="C11" i="7" s="1"/>
  <c r="C13" i="7" s="1"/>
  <c r="E31" i="14"/>
  <c r="E32" i="6" l="1"/>
  <c r="E34" i="6" s="1"/>
  <c r="E36" i="6" s="1"/>
  <c r="E4" i="7" s="1"/>
  <c r="E7" i="7" s="1"/>
  <c r="E11" i="7" s="1"/>
  <c r="F30" i="6"/>
  <c r="G30" i="6"/>
  <c r="D12" i="7"/>
  <c r="E21" i="14"/>
  <c r="E32" i="14"/>
  <c r="G11" i="6"/>
  <c r="G26" i="6" s="1"/>
  <c r="F26" i="6"/>
  <c r="F32" i="6" l="1"/>
  <c r="F34" i="6" s="1"/>
  <c r="F36" i="6" s="1"/>
  <c r="F4" i="7" s="1"/>
  <c r="F7" i="7" s="1"/>
  <c r="F11" i="7" s="1"/>
  <c r="G32" i="6"/>
  <c r="G34" i="6" s="1"/>
  <c r="G36" i="6" s="1"/>
  <c r="G4" i="7" s="1"/>
  <c r="G7" i="7" s="1"/>
  <c r="G11" i="7" s="1"/>
  <c r="D21" i="6"/>
  <c r="D26" i="6" s="1"/>
  <c r="D32" i="6" s="1"/>
  <c r="E23" i="14"/>
  <c r="E34" i="14" s="1"/>
  <c r="D36" i="6" l="1"/>
  <c r="D4" i="7" l="1"/>
  <c r="D7" i="7" s="1"/>
  <c r="D11" i="7" s="1"/>
  <c r="D13" i="7" s="1"/>
  <c r="G31" i="14"/>
  <c r="E12" i="7" l="1"/>
  <c r="E13" i="7" s="1"/>
  <c r="G7" i="14"/>
  <c r="G16" i="14" s="1"/>
  <c r="I31" i="14"/>
  <c r="G32" i="14"/>
  <c r="G34" i="14" s="1"/>
  <c r="K31" i="14" l="1"/>
  <c r="I32" i="14"/>
  <c r="I34" i="14" s="1"/>
  <c r="F12" i="7"/>
  <c r="F13" i="7" s="1"/>
  <c r="I5" i="14"/>
  <c r="I7" i="14" s="1"/>
  <c r="I16" i="14" s="1"/>
  <c r="M31" i="14" l="1"/>
  <c r="M32" i="14" s="1"/>
  <c r="M34" i="14" s="1"/>
  <c r="K32" i="14"/>
  <c r="K34" i="14" s="1"/>
  <c r="G12" i="7"/>
  <c r="G13" i="7" s="1"/>
  <c r="M5" i="14" s="1"/>
  <c r="M7" i="14" s="1"/>
  <c r="M16" i="14" s="1"/>
  <c r="K5" i="14"/>
  <c r="K7" i="14" s="1"/>
  <c r="K16" i="14" s="1"/>
</calcChain>
</file>

<file path=xl/sharedStrings.xml><?xml version="1.0" encoding="utf-8"?>
<sst xmlns="http://schemas.openxmlformats.org/spreadsheetml/2006/main" count="499" uniqueCount="219">
  <si>
    <t>Particulars</t>
  </si>
  <si>
    <t>Quantity</t>
  </si>
  <si>
    <t>Library</t>
  </si>
  <si>
    <t>Conference room</t>
  </si>
  <si>
    <t>Cafeteria</t>
  </si>
  <si>
    <t>Security Room</t>
  </si>
  <si>
    <t>Total Rooms</t>
  </si>
  <si>
    <t>Program</t>
  </si>
  <si>
    <t>Duration</t>
  </si>
  <si>
    <t>MBF</t>
  </si>
  <si>
    <t>2 Years</t>
  </si>
  <si>
    <t>MCS</t>
  </si>
  <si>
    <t>MHRM</t>
  </si>
  <si>
    <t>MICT</t>
  </si>
  <si>
    <t>MMM</t>
  </si>
  <si>
    <t>MPM</t>
  </si>
  <si>
    <t>MSM</t>
  </si>
  <si>
    <t>MSCM</t>
  </si>
  <si>
    <t>1.5 Year</t>
  </si>
  <si>
    <t>1.5 Years</t>
  </si>
  <si>
    <t>1.5 year</t>
  </si>
  <si>
    <t>MS-PM</t>
  </si>
  <si>
    <t>MS-SLM</t>
  </si>
  <si>
    <t>Total Fee (PKR)</t>
  </si>
  <si>
    <t>Cost per Item</t>
  </si>
  <si>
    <t>No of Items</t>
  </si>
  <si>
    <t>Total Cost</t>
  </si>
  <si>
    <t>Building Rent</t>
  </si>
  <si>
    <t>Printers</t>
  </si>
  <si>
    <t>UPS (Imported)</t>
  </si>
  <si>
    <t>Server</t>
  </si>
  <si>
    <t>Multimedia Projectors</t>
  </si>
  <si>
    <t>Air Conditioners</t>
  </si>
  <si>
    <t>Furniture &amp; Fixtures</t>
  </si>
  <si>
    <t>Items</t>
  </si>
  <si>
    <t>Generator (30 KVA/24 KW)</t>
  </si>
  <si>
    <t>Post</t>
  </si>
  <si>
    <t>Salary per Month</t>
  </si>
  <si>
    <t>Administrative Staff</t>
  </si>
  <si>
    <t>Maintenance Staff</t>
  </si>
  <si>
    <t>Office Boys</t>
  </si>
  <si>
    <t>Sweepers</t>
  </si>
  <si>
    <t>Security Guard</t>
  </si>
  <si>
    <t>Total per Month</t>
  </si>
  <si>
    <t>Total per Year</t>
  </si>
  <si>
    <t>Total</t>
  </si>
  <si>
    <t>Accountant</t>
  </si>
  <si>
    <t>Rs.</t>
  </si>
  <si>
    <t>Less</t>
  </si>
  <si>
    <t>Operating Expenses</t>
  </si>
  <si>
    <t>-</t>
  </si>
  <si>
    <t>Office &amp; Stationary Expense</t>
  </si>
  <si>
    <t>Faculty Assistants</t>
  </si>
  <si>
    <t>IT Assistants</t>
  </si>
  <si>
    <t>Class Room Chairs</t>
  </si>
  <si>
    <t>Fans</t>
  </si>
  <si>
    <t>Faculty Office Chairs</t>
  </si>
  <si>
    <t>Office Tables</t>
  </si>
  <si>
    <t>Conference Room Table</t>
  </si>
  <si>
    <t>Conference Room Chairs</t>
  </si>
  <si>
    <t>Office Chairs for visitors</t>
  </si>
  <si>
    <t>Lab Chairs</t>
  </si>
  <si>
    <t>Lab Tables</t>
  </si>
  <si>
    <t>Miscellaneous Expense</t>
  </si>
  <si>
    <t>Income Statement</t>
  </si>
  <si>
    <t>IT Equipment</t>
  </si>
  <si>
    <t>Maintenance Expense</t>
  </si>
  <si>
    <t>Year 1</t>
  </si>
  <si>
    <t>Year 2</t>
  </si>
  <si>
    <t>Year 3</t>
  </si>
  <si>
    <t>Year 4</t>
  </si>
  <si>
    <t>Year 0</t>
  </si>
  <si>
    <t>Student Enrollment</t>
  </si>
  <si>
    <t>Programs</t>
  </si>
  <si>
    <t>Fee (Rs.)</t>
  </si>
  <si>
    <t>Revenue Year 1</t>
  </si>
  <si>
    <t>Revenue Year 2</t>
  </si>
  <si>
    <t>Revenue Year 3</t>
  </si>
  <si>
    <t>Revenue Year 4</t>
  </si>
  <si>
    <t>Revenue Year 5</t>
  </si>
  <si>
    <t>MPS-ODC</t>
  </si>
  <si>
    <t>MPS-AMC</t>
  </si>
  <si>
    <t>MPS-IBEM</t>
  </si>
  <si>
    <t>Computers (Core i5 Standard)</t>
  </si>
  <si>
    <t>LED Down Lights</t>
  </si>
  <si>
    <t>Tube Lights</t>
  </si>
  <si>
    <t>Driver</t>
  </si>
  <si>
    <t>Office Cabinets</t>
  </si>
  <si>
    <t>Scanner</t>
  </si>
  <si>
    <t>White Boards</t>
  </si>
  <si>
    <t>Rostrum</t>
  </si>
  <si>
    <t>Café Fixtures</t>
  </si>
  <si>
    <t>Fuel Expense</t>
  </si>
  <si>
    <t>Depreciation on Fixed Assets</t>
  </si>
  <si>
    <t>Total Fixed Assets Cost</t>
  </si>
  <si>
    <t>Initial Fixed Assets</t>
  </si>
  <si>
    <t>Entertainment Expense</t>
  </si>
  <si>
    <t>Communication Expense</t>
  </si>
  <si>
    <t>Promotional Expense</t>
  </si>
  <si>
    <t>Add</t>
  </si>
  <si>
    <t>Other Income</t>
  </si>
  <si>
    <t>(10% Annualy)</t>
  </si>
  <si>
    <t>Bad Debts</t>
  </si>
  <si>
    <t>Scholarships</t>
  </si>
  <si>
    <t>Balance Sheet</t>
  </si>
  <si>
    <t>Space Requirement</t>
  </si>
  <si>
    <t>Area Required (Sq. Ft)</t>
  </si>
  <si>
    <t>Class rooms (500 sq. ft. each)</t>
  </si>
  <si>
    <t>Office rooms (300 sq. ft. each)</t>
  </si>
  <si>
    <t>Toilets (50 sq. ft. each)</t>
  </si>
  <si>
    <t>Open Area</t>
  </si>
  <si>
    <t>Store Room</t>
  </si>
  <si>
    <t>Admin Office</t>
  </si>
  <si>
    <t>Building Security</t>
  </si>
  <si>
    <t>Current Assets</t>
  </si>
  <si>
    <t>Cash</t>
  </si>
  <si>
    <t>Other</t>
  </si>
  <si>
    <t>Fixed Assets</t>
  </si>
  <si>
    <t>Total Assets</t>
  </si>
  <si>
    <t>Current Liabilities</t>
  </si>
  <si>
    <t>Accounts payable</t>
  </si>
  <si>
    <t>Accrued wages</t>
  </si>
  <si>
    <t>Owner Equity</t>
  </si>
  <si>
    <t>Investment capital</t>
  </si>
  <si>
    <t>Accumulated retained earnings</t>
  </si>
  <si>
    <t>Total Liabilities &amp; Stockholder Equity</t>
  </si>
  <si>
    <t>Cash Flow Statement</t>
  </si>
  <si>
    <t>Financing Activities</t>
  </si>
  <si>
    <t>Working Capital</t>
  </si>
  <si>
    <t>Cash at Bank</t>
  </si>
  <si>
    <t>Amount (Rs.)</t>
  </si>
  <si>
    <t>Power Generation Units</t>
  </si>
  <si>
    <t>IT Equipments</t>
  </si>
  <si>
    <t>Closing Balance</t>
  </si>
  <si>
    <t>Accumulated Depreciation Account Year 1</t>
  </si>
  <si>
    <t>Opening Balnce</t>
  </si>
  <si>
    <t>Opening Balance</t>
  </si>
  <si>
    <t>Accumulated Depreciation Account Year 2</t>
  </si>
  <si>
    <t>Accumulated Depreciation Account Year 3</t>
  </si>
  <si>
    <t>Accumulated Depreciation Account Year 4</t>
  </si>
  <si>
    <t>Project Cost</t>
  </si>
  <si>
    <t>Description</t>
  </si>
  <si>
    <t>Capital Cost</t>
  </si>
  <si>
    <t>Power Generating Units</t>
  </si>
  <si>
    <t>Building Rent (6 Months)</t>
  </si>
  <si>
    <t>Total Project Cost</t>
  </si>
  <si>
    <t>Security Cameras</t>
  </si>
  <si>
    <t>Revenue</t>
  </si>
  <si>
    <t>Operating Activities</t>
  </si>
  <si>
    <t>Depreciation Expense</t>
  </si>
  <si>
    <t>Cost of Sales</t>
  </si>
  <si>
    <t>Direct Labor</t>
  </si>
  <si>
    <t>Power</t>
  </si>
  <si>
    <t>Total Cost of Sales</t>
  </si>
  <si>
    <t>Gross Profit</t>
  </si>
  <si>
    <t>Bank Overdraft</t>
  </si>
  <si>
    <t>Net Profit before tax</t>
  </si>
  <si>
    <t>Net loss from operating activities</t>
  </si>
  <si>
    <t>Investing Activities</t>
  </si>
  <si>
    <t>Net inc/(dec) in Cash flow</t>
  </si>
  <si>
    <t>Balance at the beginning of the year</t>
  </si>
  <si>
    <t>Balance at the Closing of the year</t>
  </si>
  <si>
    <t>(3% Annualy)</t>
  </si>
  <si>
    <t>Year 5</t>
  </si>
  <si>
    <t>Student Enrollment Year 2</t>
  </si>
  <si>
    <t>Student Enrollment Year 3</t>
  </si>
  <si>
    <t>Remaining Fee of Year 1</t>
  </si>
  <si>
    <t>Remaining Fee of Year 2</t>
  </si>
  <si>
    <t>Student Enrollment Year 4</t>
  </si>
  <si>
    <t>Student Enrollment Year 5</t>
  </si>
  <si>
    <t>Remaining Fee of Year 3</t>
  </si>
  <si>
    <t>Remaining Fee of Year 4</t>
  </si>
  <si>
    <t>Registeraion Fee</t>
  </si>
  <si>
    <t>Total Revenue Year 1</t>
  </si>
  <si>
    <t>Total Revenue Year 2</t>
  </si>
  <si>
    <t>Total Revenue Year 3</t>
  </si>
  <si>
    <t>Total Revenue Year 5</t>
  </si>
  <si>
    <t>Total Revenue Year 4</t>
  </si>
  <si>
    <t>Salary for Year 1</t>
  </si>
  <si>
    <t>No. of Persons</t>
  </si>
  <si>
    <t>Salary for Year 2</t>
  </si>
  <si>
    <t>Salary for Year 3</t>
  </si>
  <si>
    <t>Salary for Year 4</t>
  </si>
  <si>
    <t>Salary for Year 5</t>
  </si>
  <si>
    <t>New Hiring</t>
  </si>
  <si>
    <t>Salary Structure</t>
  </si>
  <si>
    <t>Professor</t>
  </si>
  <si>
    <t>Assistant Professor</t>
  </si>
  <si>
    <t>Lecturer</t>
  </si>
  <si>
    <t>Visiting Faculty</t>
  </si>
  <si>
    <t>Total Year 2 Salary</t>
  </si>
  <si>
    <t>Total Year 3 Salary</t>
  </si>
  <si>
    <t>Total Year 4 Salary</t>
  </si>
  <si>
    <t>Total Year 5 Salary</t>
  </si>
  <si>
    <t>Tax (35%)</t>
  </si>
  <si>
    <t>Net Profit/(Loss) After Tax</t>
  </si>
  <si>
    <t>Building</t>
  </si>
  <si>
    <t>Accumulated Depreciation Account Year 5</t>
  </si>
  <si>
    <t>Earnings Before Tax</t>
  </si>
  <si>
    <t>Building Rent Monthly</t>
  </si>
  <si>
    <t>Salary per Month&amp;3% Increment</t>
  </si>
  <si>
    <t>Interest on Bank Overdraft</t>
  </si>
  <si>
    <t>Fee for 1 Year Exclude Reg. Fee</t>
  </si>
  <si>
    <t>Bus Rent Monthly</t>
  </si>
  <si>
    <t>Office Racks</t>
  </si>
  <si>
    <t>Bus Rent</t>
  </si>
  <si>
    <t>Cash in Hand</t>
  </si>
  <si>
    <t>Long Term Liability</t>
  </si>
  <si>
    <t>Depreciation Rate</t>
  </si>
  <si>
    <t>Computer Lab (500 sq. ft. each)</t>
  </si>
  <si>
    <t>IRR</t>
  </si>
  <si>
    <t>Initial Investment</t>
  </si>
  <si>
    <t>Net Cash Flow</t>
  </si>
  <si>
    <t>Cumulative Cash Flow</t>
  </si>
  <si>
    <t>Monthly cash flow</t>
  </si>
  <si>
    <t xml:space="preserve">Investment-Last year cumulative </t>
  </si>
  <si>
    <t>Months Calculation</t>
  </si>
  <si>
    <t>Payback Period</t>
  </si>
  <si>
    <t>4 Years 3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</si>
</sst>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0_);\-0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9"/>
      <color rgb="FF00000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0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4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000000"/>
      <name val="Times New Roman"/>
      <family val="1"/>
    </font>
    <font>
      <b/>
      <sz val="12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49998474074526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theme="4" tint="0.3999450666829432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5" fontId="5" fillId="5" borderId="22" applyFont="0" applyAlignment="0">
      <alignment vertical="center"/>
    </xf>
  </cellStyleXfs>
  <cellXfs count="295">
    <xf numFmtId="0" fontId="0" fillId="0" borderId="0" xfId="0"/>
    <xf numFmtId="0" fontId="3" fillId="0" borderId="0" xfId="0" applyFont="1"/>
    <xf numFmtId="0" fontId="0" fillId="0" borderId="5" xfId="0" applyBorder="1"/>
    <xf numFmtId="0" fontId="0" fillId="0" borderId="11" xfId="0" applyBorder="1"/>
    <xf numFmtId="0" fontId="0" fillId="0" borderId="8" xfId="0" applyBorder="1"/>
    <xf numFmtId="0" fontId="4" fillId="0" borderId="1" xfId="0" applyFont="1" applyBorder="1"/>
    <xf numFmtId="0" fontId="4" fillId="0" borderId="0" xfId="0" applyFont="1"/>
    <xf numFmtId="164" fontId="0" fillId="0" borderId="11" xfId="1" applyNumberFormat="1" applyFont="1" applyBorder="1"/>
    <xf numFmtId="164" fontId="4" fillId="0" borderId="1" xfId="0" applyNumberFormat="1" applyFont="1" applyBorder="1"/>
    <xf numFmtId="164" fontId="3" fillId="0" borderId="0" xfId="0" applyNumberFormat="1" applyFont="1"/>
    <xf numFmtId="164" fontId="4" fillId="0" borderId="1" xfId="1" applyNumberFormat="1" applyFont="1" applyBorder="1"/>
    <xf numFmtId="164" fontId="0" fillId="0" borderId="5" xfId="1" applyNumberFormat="1" applyFont="1" applyBorder="1"/>
    <xf numFmtId="0" fontId="4" fillId="0" borderId="5" xfId="0" applyFont="1" applyBorder="1"/>
    <xf numFmtId="0" fontId="0" fillId="0" borderId="11" xfId="0" applyBorder="1" applyAlignment="1">
      <alignment wrapText="1"/>
    </xf>
    <xf numFmtId="0" fontId="0" fillId="0" borderId="23" xfId="0" applyBorder="1"/>
    <xf numFmtId="0" fontId="0" fillId="0" borderId="14" xfId="0" applyBorder="1"/>
    <xf numFmtId="164" fontId="0" fillId="0" borderId="25" xfId="1" applyNumberFormat="1" applyFont="1" applyBorder="1"/>
    <xf numFmtId="0" fontId="4" fillId="0" borderId="2" xfId="0" applyFont="1" applyBorder="1"/>
    <xf numFmtId="0" fontId="4" fillId="0" borderId="26" xfId="0" applyFont="1" applyBorder="1"/>
    <xf numFmtId="164" fontId="4" fillId="0" borderId="26" xfId="1" applyNumberFormat="1" applyFont="1" applyBorder="1"/>
    <xf numFmtId="0" fontId="4" fillId="0" borderId="6" xfId="0" applyFont="1" applyBorder="1"/>
    <xf numFmtId="0" fontId="4" fillId="0" borderId="7" xfId="0" applyFont="1" applyBorder="1"/>
    <xf numFmtId="164" fontId="0" fillId="0" borderId="27" xfId="1" applyNumberFormat="1" applyFont="1" applyBorder="1"/>
    <xf numFmtId="0" fontId="0" fillId="0" borderId="11" xfId="0" applyFont="1" applyBorder="1"/>
    <xf numFmtId="164" fontId="4" fillId="0" borderId="27" xfId="1" applyNumberFormat="1" applyFont="1" applyBorder="1"/>
    <xf numFmtId="0" fontId="4" fillId="0" borderId="14" xfId="0" applyFont="1" applyBorder="1"/>
    <xf numFmtId="164" fontId="0" fillId="0" borderId="27" xfId="0" applyNumberFormat="1" applyFont="1" applyBorder="1"/>
    <xf numFmtId="0" fontId="4" fillId="0" borderId="28" xfId="0" applyFont="1" applyBorder="1"/>
    <xf numFmtId="0" fontId="4" fillId="0" borderId="29" xfId="0" applyFont="1" applyBorder="1"/>
    <xf numFmtId="0" fontId="0" fillId="0" borderId="30" xfId="0" applyBorder="1"/>
    <xf numFmtId="0" fontId="4" fillId="0" borderId="30" xfId="0" applyFont="1" applyBorder="1"/>
    <xf numFmtId="164" fontId="1" fillId="0" borderId="27" xfId="1" applyNumberFormat="1" applyFont="1" applyBorder="1"/>
    <xf numFmtId="164" fontId="1" fillId="0" borderId="24" xfId="1" applyNumberFormat="1" applyFont="1" applyBorder="1"/>
    <xf numFmtId="0" fontId="8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8" fillId="0" borderId="1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164" fontId="8" fillId="0" borderId="0" xfId="1" applyNumberFormat="1" applyFont="1" applyBorder="1" applyAlignment="1">
      <alignment horizontal="center" vertical="center"/>
    </xf>
    <xf numFmtId="164" fontId="8" fillId="0" borderId="16" xfId="1" applyNumberFormat="1" applyFont="1" applyBorder="1" applyAlignment="1">
      <alignment horizontal="center" vertical="center"/>
    </xf>
    <xf numFmtId="164" fontId="8" fillId="0" borderId="15" xfId="1" applyNumberFormat="1" applyFont="1" applyBorder="1" applyAlignment="1">
      <alignment horizontal="center" vertical="center"/>
    </xf>
    <xf numFmtId="164" fontId="9" fillId="0" borderId="15" xfId="1" applyNumberFormat="1" applyFont="1" applyBorder="1" applyAlignment="1">
      <alignment horizontal="center" vertical="center"/>
    </xf>
    <xf numFmtId="164" fontId="10" fillId="0" borderId="0" xfId="1" applyNumberFormat="1" applyFont="1" applyBorder="1"/>
    <xf numFmtId="164" fontId="10" fillId="0" borderId="16" xfId="1" applyNumberFormat="1" applyFont="1" applyBorder="1"/>
    <xf numFmtId="164" fontId="9" fillId="0" borderId="0" xfId="1" applyNumberFormat="1" applyFont="1" applyBorder="1" applyAlignment="1">
      <alignment horizontal="center" vertical="center"/>
    </xf>
    <xf numFmtId="164" fontId="9" fillId="0" borderId="16" xfId="1" applyNumberFormat="1" applyFont="1" applyBorder="1" applyAlignment="1">
      <alignment horizontal="center" vertical="center"/>
    </xf>
    <xf numFmtId="0" fontId="8" fillId="0" borderId="21" xfId="0" applyFont="1" applyBorder="1" applyAlignment="1">
      <alignment horizontal="left" vertical="center"/>
    </xf>
    <xf numFmtId="164" fontId="9" fillId="0" borderId="21" xfId="1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left" vertical="center"/>
    </xf>
    <xf numFmtId="164" fontId="9" fillId="0" borderId="10" xfId="1" applyNumberFormat="1" applyFont="1" applyBorder="1" applyAlignment="1">
      <alignment horizontal="center" vertical="center"/>
    </xf>
    <xf numFmtId="164" fontId="9" fillId="0" borderId="2" xfId="1" applyNumberFormat="1" applyFont="1" applyBorder="1" applyAlignment="1">
      <alignment horizontal="center" vertical="center"/>
    </xf>
    <xf numFmtId="0" fontId="11" fillId="0" borderId="15" xfId="0" applyFont="1" applyBorder="1" applyAlignment="1">
      <alignment horizontal="left" vertical="center"/>
    </xf>
    <xf numFmtId="164" fontId="0" fillId="0" borderId="0" xfId="0" applyNumberFormat="1"/>
    <xf numFmtId="164" fontId="7" fillId="0" borderId="1" xfId="0" applyNumberFormat="1" applyFont="1" applyBorder="1" applyAlignment="1"/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164" fontId="0" fillId="0" borderId="0" xfId="1" applyNumberFormat="1" applyFont="1" applyBorder="1"/>
    <xf numFmtId="164" fontId="4" fillId="0" borderId="0" xfId="0" applyNumberFormat="1" applyFont="1" applyBorder="1"/>
    <xf numFmtId="0" fontId="4" fillId="0" borderId="1" xfId="0" applyFont="1" applyBorder="1" applyAlignment="1">
      <alignment wrapText="1"/>
    </xf>
    <xf numFmtId="0" fontId="4" fillId="0" borderId="9" xfId="0" applyFont="1" applyBorder="1"/>
    <xf numFmtId="164" fontId="0" fillId="0" borderId="34" xfId="1" applyNumberFormat="1" applyFont="1" applyBorder="1"/>
    <xf numFmtId="164" fontId="0" fillId="0" borderId="8" xfId="1" applyNumberFormat="1" applyFont="1" applyBorder="1"/>
    <xf numFmtId="0" fontId="4" fillId="0" borderId="6" xfId="0" applyFont="1" applyFill="1" applyBorder="1"/>
    <xf numFmtId="164" fontId="4" fillId="0" borderId="6" xfId="0" applyNumberFormat="1" applyFont="1" applyBorder="1"/>
    <xf numFmtId="164" fontId="4" fillId="0" borderId="32" xfId="0" applyNumberFormat="1" applyFont="1" applyBorder="1"/>
    <xf numFmtId="164" fontId="4" fillId="0" borderId="6" xfId="1" applyNumberFormat="1" applyFont="1" applyBorder="1"/>
    <xf numFmtId="0" fontId="4" fillId="0" borderId="8" xfId="0" applyFont="1" applyFill="1" applyBorder="1"/>
    <xf numFmtId="164" fontId="4" fillId="0" borderId="8" xfId="1" applyNumberFormat="1" applyFont="1" applyBorder="1"/>
    <xf numFmtId="164" fontId="4" fillId="0" borderId="8" xfId="0" applyNumberFormat="1" applyFont="1" applyBorder="1"/>
    <xf numFmtId="164" fontId="4" fillId="0" borderId="8" xfId="0" applyNumberFormat="1" applyFont="1" applyBorder="1" applyAlignment="1"/>
    <xf numFmtId="164" fontId="0" fillId="0" borderId="5" xfId="0" applyNumberFormat="1" applyBorder="1"/>
    <xf numFmtId="164" fontId="0" fillId="0" borderId="11" xfId="0" applyNumberFormat="1" applyBorder="1"/>
    <xf numFmtId="164" fontId="0" fillId="0" borderId="8" xfId="0" applyNumberFormat="1" applyBorder="1"/>
    <xf numFmtId="164" fontId="4" fillId="0" borderId="36" xfId="1" applyNumberFormat="1" applyFont="1" applyBorder="1"/>
    <xf numFmtId="0" fontId="12" fillId="0" borderId="0" xfId="0" applyFont="1"/>
    <xf numFmtId="0" fontId="10" fillId="0" borderId="0" xfId="0" applyFont="1"/>
    <xf numFmtId="0" fontId="12" fillId="0" borderId="1" xfId="0" applyFont="1" applyBorder="1"/>
    <xf numFmtId="0" fontId="10" fillId="0" borderId="11" xfId="0" applyFont="1" applyBorder="1" applyAlignment="1">
      <alignment horizontal="justify" vertical="center" wrapText="1"/>
    </xf>
    <xf numFmtId="0" fontId="10" fillId="0" borderId="11" xfId="0" applyFont="1" applyBorder="1" applyAlignment="1">
      <alignment horizontal="right" vertical="center" wrapText="1"/>
    </xf>
    <xf numFmtId="3" fontId="10" fillId="0" borderId="11" xfId="0" applyNumberFormat="1" applyFont="1" applyBorder="1" applyAlignment="1">
      <alignment horizontal="right" vertical="center" wrapText="1"/>
    </xf>
    <xf numFmtId="0" fontId="10" fillId="0" borderId="5" xfId="0" applyFont="1" applyBorder="1" applyAlignment="1">
      <alignment horizontal="justify" vertical="center" wrapText="1"/>
    </xf>
    <xf numFmtId="0" fontId="10" fillId="0" borderId="5" xfId="0" applyFont="1" applyBorder="1" applyAlignment="1">
      <alignment horizontal="righ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justify" vertical="center" wrapText="1"/>
    </xf>
    <xf numFmtId="0" fontId="10" fillId="0" borderId="8" xfId="0" applyFont="1" applyBorder="1" applyAlignment="1">
      <alignment horizontal="right" vertical="center" wrapText="1"/>
    </xf>
    <xf numFmtId="0" fontId="12" fillId="0" borderId="1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3" fontId="12" fillId="0" borderId="2" xfId="0" applyNumberFormat="1" applyFont="1" applyBorder="1" applyAlignment="1">
      <alignment horizontal="right" vertical="center" wrapText="1"/>
    </xf>
    <xf numFmtId="0" fontId="12" fillId="0" borderId="9" xfId="0" applyFont="1" applyBorder="1" applyAlignment="1">
      <alignment vertical="center" wrapText="1"/>
    </xf>
    <xf numFmtId="3" fontId="12" fillId="0" borderId="4" xfId="0" applyNumberFormat="1" applyFont="1" applyBorder="1" applyAlignment="1">
      <alignment horizontal="right" vertical="center" wrapText="1"/>
    </xf>
    <xf numFmtId="0" fontId="13" fillId="0" borderId="0" xfId="0" applyFont="1"/>
    <xf numFmtId="0" fontId="12" fillId="0" borderId="1" xfId="0" applyFont="1" applyBorder="1" applyAlignment="1">
      <alignment wrapText="1"/>
    </xf>
    <xf numFmtId="0" fontId="12" fillId="0" borderId="5" xfId="0" applyFont="1" applyBorder="1" applyAlignment="1">
      <alignment horizontal="center"/>
    </xf>
    <xf numFmtId="0" fontId="10" fillId="0" borderId="5" xfId="0" applyFont="1" applyBorder="1"/>
    <xf numFmtId="3" fontId="10" fillId="0" borderId="34" xfId="0" applyNumberFormat="1" applyFont="1" applyBorder="1" applyAlignment="1">
      <alignment horizontal="righ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164" fontId="10" fillId="0" borderId="5" xfId="1" applyNumberFormat="1" applyFont="1" applyBorder="1"/>
    <xf numFmtId="164" fontId="10" fillId="0" borderId="11" xfId="0" applyNumberFormat="1" applyFont="1" applyBorder="1" applyAlignment="1">
      <alignment horizontal="right" vertical="center" wrapText="1"/>
    </xf>
    <xf numFmtId="43" fontId="10" fillId="0" borderId="0" xfId="0" applyNumberFormat="1" applyFont="1"/>
    <xf numFmtId="0" fontId="12" fillId="0" borderId="3" xfId="0" applyFont="1" applyBorder="1"/>
    <xf numFmtId="0" fontId="12" fillId="0" borderId="35" xfId="0" applyFont="1" applyBorder="1" applyAlignment="1">
      <alignment wrapText="1"/>
    </xf>
    <xf numFmtId="164" fontId="10" fillId="0" borderId="34" xfId="0" applyNumberFormat="1" applyFont="1" applyBorder="1" applyAlignment="1">
      <alignment horizontal="right" vertical="center" wrapText="1"/>
    </xf>
    <xf numFmtId="3" fontId="12" fillId="0" borderId="20" xfId="0" applyNumberFormat="1" applyFont="1" applyBorder="1" applyAlignment="1">
      <alignment horizontal="right" vertical="center" wrapText="1"/>
    </xf>
    <xf numFmtId="164" fontId="10" fillId="0" borderId="5" xfId="1" applyNumberFormat="1" applyFont="1" applyBorder="1" applyAlignment="1">
      <alignment horizontal="right" vertical="center" wrapText="1"/>
    </xf>
    <xf numFmtId="164" fontId="10" fillId="0" borderId="11" xfId="1" applyNumberFormat="1" applyFont="1" applyBorder="1" applyAlignment="1">
      <alignment horizontal="right" vertical="center" wrapText="1"/>
    </xf>
    <xf numFmtId="164" fontId="10" fillId="0" borderId="8" xfId="1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6" xfId="0" applyNumberFormat="1" applyFont="1" applyBorder="1" applyAlignment="1">
      <alignment horizontal="right" vertical="center" wrapText="1"/>
    </xf>
    <xf numFmtId="164" fontId="10" fillId="0" borderId="8" xfId="1" applyNumberFormat="1" applyFont="1" applyBorder="1"/>
    <xf numFmtId="164" fontId="10" fillId="0" borderId="11" xfId="1" applyNumberFormat="1" applyFont="1" applyBorder="1"/>
    <xf numFmtId="164" fontId="12" fillId="0" borderId="1" xfId="0" applyNumberFormat="1" applyFont="1" applyBorder="1"/>
    <xf numFmtId="3" fontId="12" fillId="0" borderId="1" xfId="0" applyNumberFormat="1" applyFont="1" applyBorder="1"/>
    <xf numFmtId="3" fontId="12" fillId="0" borderId="3" xfId="0" applyNumberFormat="1" applyFont="1" applyBorder="1"/>
    <xf numFmtId="164" fontId="12" fillId="0" borderId="1" xfId="1" applyNumberFormat="1" applyFont="1" applyBorder="1" applyAlignment="1">
      <alignment horizontal="right" vertical="center" wrapText="1"/>
    </xf>
    <xf numFmtId="0" fontId="10" fillId="0" borderId="0" xfId="0" applyFont="1" applyBorder="1"/>
    <xf numFmtId="164" fontId="10" fillId="0" borderId="0" xfId="0" applyNumberFormat="1" applyFont="1" applyBorder="1"/>
    <xf numFmtId="0" fontId="10" fillId="0" borderId="9" xfId="0" applyFont="1" applyBorder="1"/>
    <xf numFmtId="0" fontId="12" fillId="0" borderId="10" xfId="0" applyFont="1" applyBorder="1"/>
    <xf numFmtId="164" fontId="12" fillId="0" borderId="10" xfId="0" applyNumberFormat="1" applyFont="1" applyBorder="1"/>
    <xf numFmtId="164" fontId="12" fillId="0" borderId="2" xfId="0" applyNumberFormat="1" applyFont="1" applyBorder="1"/>
    <xf numFmtId="0" fontId="10" fillId="0" borderId="7" xfId="0" applyFont="1" applyBorder="1"/>
    <xf numFmtId="164" fontId="10" fillId="0" borderId="16" xfId="0" applyNumberFormat="1" applyFont="1" applyBorder="1"/>
    <xf numFmtId="0" fontId="10" fillId="0" borderId="4" xfId="0" applyFont="1" applyBorder="1"/>
    <xf numFmtId="164" fontId="9" fillId="0" borderId="38" xfId="1" applyNumberFormat="1" applyFont="1" applyBorder="1" applyAlignment="1">
      <alignment horizontal="center" vertical="center"/>
    </xf>
    <xf numFmtId="164" fontId="9" fillId="0" borderId="37" xfId="1" applyNumberFormat="1" applyFont="1" applyBorder="1" applyAlignment="1">
      <alignment horizontal="center" vertical="center"/>
    </xf>
    <xf numFmtId="164" fontId="8" fillId="0" borderId="38" xfId="1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0" fillId="0" borderId="0" xfId="0" applyBorder="1"/>
    <xf numFmtId="0" fontId="0" fillId="0" borderId="12" xfId="0" applyBorder="1"/>
    <xf numFmtId="0" fontId="0" fillId="0" borderId="16" xfId="0" applyBorder="1"/>
    <xf numFmtId="0" fontId="4" fillId="0" borderId="12" xfId="0" applyFont="1" applyBorder="1"/>
    <xf numFmtId="164" fontId="0" fillId="0" borderId="16" xfId="1" applyNumberFormat="1" applyFont="1" applyBorder="1"/>
    <xf numFmtId="0" fontId="16" fillId="0" borderId="1" xfId="0" applyFont="1" applyBorder="1" applyAlignment="1">
      <alignment horizontal="center"/>
    </xf>
    <xf numFmtId="164" fontId="3" fillId="0" borderId="11" xfId="1" applyNumberFormat="1" applyFont="1" applyBorder="1"/>
    <xf numFmtId="164" fontId="3" fillId="0" borderId="5" xfId="1" applyNumberFormat="1" applyFont="1" applyBorder="1"/>
    <xf numFmtId="0" fontId="16" fillId="4" borderId="6" xfId="0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16" fillId="0" borderId="1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164" fontId="3" fillId="0" borderId="5" xfId="1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5" fillId="2" borderId="6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3" fontId="17" fillId="3" borderId="5" xfId="0" applyNumberFormat="1" applyFont="1" applyFill="1" applyBorder="1" applyAlignment="1">
      <alignment horizontal="right" vertical="center" wrapText="1"/>
    </xf>
    <xf numFmtId="0" fontId="6" fillId="0" borderId="39" xfId="0" applyFont="1" applyBorder="1" applyAlignment="1">
      <alignment horizontal="center"/>
    </xf>
    <xf numFmtId="0" fontId="6" fillId="0" borderId="40" xfId="0" applyFont="1" applyBorder="1" applyAlignment="1">
      <alignment horizontal="center"/>
    </xf>
    <xf numFmtId="164" fontId="4" fillId="0" borderId="41" xfId="0" applyNumberFormat="1" applyFont="1" applyBorder="1" applyAlignment="1"/>
    <xf numFmtId="164" fontId="4" fillId="0" borderId="31" xfId="0" applyNumberFormat="1" applyFont="1" applyBorder="1" applyAlignment="1"/>
    <xf numFmtId="164" fontId="4" fillId="0" borderId="11" xfId="0" applyNumberFormat="1" applyFont="1" applyBorder="1" applyAlignment="1"/>
    <xf numFmtId="0" fontId="20" fillId="0" borderId="12" xfId="0" applyFont="1" applyBorder="1"/>
    <xf numFmtId="164" fontId="4" fillId="0" borderId="5" xfId="0" applyNumberFormat="1" applyFont="1" applyBorder="1" applyAlignment="1"/>
    <xf numFmtId="0" fontId="0" fillId="6" borderId="42" xfId="0" applyFill="1" applyBorder="1"/>
    <xf numFmtId="0" fontId="0" fillId="6" borderId="15" xfId="0" applyFill="1" applyBorder="1"/>
    <xf numFmtId="164" fontId="0" fillId="6" borderId="15" xfId="0" applyNumberFormat="1" applyFill="1" applyBorder="1"/>
    <xf numFmtId="164" fontId="0" fillId="0" borderId="0" xfId="1" applyNumberFormat="1" applyFont="1" applyFill="1" applyBorder="1"/>
    <xf numFmtId="164" fontId="0" fillId="6" borderId="15" xfId="1" applyNumberFormat="1" applyFont="1" applyFill="1" applyBorder="1"/>
    <xf numFmtId="164" fontId="0" fillId="6" borderId="38" xfId="1" applyNumberFormat="1" applyFont="1" applyFill="1" applyBorder="1"/>
    <xf numFmtId="9" fontId="0" fillId="0" borderId="0" xfId="0" applyNumberFormat="1"/>
    <xf numFmtId="164" fontId="0" fillId="6" borderId="38" xfId="0" applyNumberFormat="1" applyFill="1" applyBorder="1"/>
    <xf numFmtId="0" fontId="0" fillId="0" borderId="33" xfId="0" applyBorder="1"/>
    <xf numFmtId="0" fontId="4" fillId="0" borderId="33" xfId="0" applyFont="1" applyBorder="1"/>
    <xf numFmtId="0" fontId="0" fillId="0" borderId="20" xfId="0" applyBorder="1"/>
    <xf numFmtId="0" fontId="4" fillId="0" borderId="20" xfId="0" applyFont="1" applyBorder="1"/>
    <xf numFmtId="0" fontId="4" fillId="0" borderId="4" xfId="0" applyFont="1" applyBorder="1"/>
    <xf numFmtId="0" fontId="8" fillId="0" borderId="42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10" fillId="0" borderId="12" xfId="0" applyFont="1" applyBorder="1"/>
    <xf numFmtId="0" fontId="15" fillId="2" borderId="16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3" fontId="10" fillId="0" borderId="5" xfId="0" applyNumberFormat="1" applyFont="1" applyBorder="1" applyAlignment="1">
      <alignment horizontal="right" vertical="center" wrapText="1"/>
    </xf>
    <xf numFmtId="3" fontId="10" fillId="0" borderId="13" xfId="0" applyNumberFormat="1" applyFont="1" applyBorder="1" applyAlignment="1">
      <alignment horizontal="right" vertical="center" wrapText="1"/>
    </xf>
    <xf numFmtId="164" fontId="10" fillId="0" borderId="5" xfId="1" applyNumberFormat="1" applyFont="1" applyBorder="1" applyAlignment="1">
      <alignment vertical="center" wrapText="1"/>
    </xf>
    <xf numFmtId="164" fontId="10" fillId="0" borderId="13" xfId="1" applyNumberFormat="1" applyFont="1" applyBorder="1" applyAlignment="1">
      <alignment horizontal="right" vertical="center" wrapText="1"/>
    </xf>
    <xf numFmtId="164" fontId="10" fillId="0" borderId="13" xfId="1" applyNumberFormat="1" applyFont="1" applyBorder="1" applyAlignment="1">
      <alignment horizontal="center" vertical="center" wrapText="1"/>
    </xf>
    <xf numFmtId="164" fontId="10" fillId="0" borderId="5" xfId="1" applyNumberFormat="1" applyFont="1" applyBorder="1" applyAlignment="1">
      <alignment horizontal="center" vertical="center" wrapText="1"/>
    </xf>
    <xf numFmtId="164" fontId="12" fillId="0" borderId="1" xfId="1" applyNumberFormat="1" applyFont="1" applyBorder="1"/>
    <xf numFmtId="164" fontId="12" fillId="0" borderId="31" xfId="0" applyNumberFormat="1" applyFont="1" applyBorder="1"/>
    <xf numFmtId="0" fontId="10" fillId="0" borderId="46" xfId="0" applyFont="1" applyBorder="1"/>
    <xf numFmtId="0" fontId="10" fillId="0" borderId="42" xfId="0" applyFont="1" applyBorder="1" applyAlignment="1">
      <alignment vertical="center"/>
    </xf>
    <xf numFmtId="3" fontId="12" fillId="0" borderId="46" xfId="0" applyNumberFormat="1" applyFont="1" applyBorder="1"/>
    <xf numFmtId="164" fontId="12" fillId="0" borderId="46" xfId="0" applyNumberFormat="1" applyFont="1" applyBorder="1"/>
    <xf numFmtId="0" fontId="10" fillId="0" borderId="47" xfId="0" applyFont="1" applyBorder="1" applyAlignment="1">
      <alignment vertical="center"/>
    </xf>
    <xf numFmtId="0" fontId="10" fillId="0" borderId="47" xfId="0" applyFont="1" applyBorder="1" applyAlignment="1">
      <alignment horizontal="justify" vertical="center"/>
    </xf>
    <xf numFmtId="0" fontId="10" fillId="0" borderId="48" xfId="0" applyFont="1" applyBorder="1" applyAlignment="1">
      <alignment horizontal="justify" vertical="center"/>
    </xf>
    <xf numFmtId="0" fontId="10" fillId="0" borderId="49" xfId="0" applyFont="1" applyBorder="1" applyAlignment="1">
      <alignment horizontal="center" vertical="center" wrapText="1"/>
    </xf>
    <xf numFmtId="164" fontId="10" fillId="0" borderId="49" xfId="1" applyNumberFormat="1" applyFont="1" applyBorder="1" applyAlignment="1">
      <alignment horizontal="right" vertical="center" wrapText="1"/>
    </xf>
    <xf numFmtId="164" fontId="10" fillId="0" borderId="39" xfId="1" applyNumberFormat="1" applyFont="1" applyBorder="1" applyAlignment="1">
      <alignment horizontal="center" vertical="center" wrapText="1"/>
    </xf>
    <xf numFmtId="164" fontId="12" fillId="0" borderId="50" xfId="0" applyNumberFormat="1" applyFont="1" applyBorder="1"/>
    <xf numFmtId="0" fontId="9" fillId="0" borderId="12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7" fillId="7" borderId="9" xfId="0" applyFont="1" applyFill="1" applyBorder="1"/>
    <xf numFmtId="0" fontId="4" fillId="7" borderId="10" xfId="0" applyFont="1" applyFill="1" applyBorder="1"/>
    <xf numFmtId="164" fontId="4" fillId="7" borderId="10" xfId="0" applyNumberFormat="1" applyFont="1" applyFill="1" applyBorder="1"/>
    <xf numFmtId="164" fontId="4" fillId="7" borderId="10" xfId="1" applyNumberFormat="1" applyFont="1" applyFill="1" applyBorder="1"/>
    <xf numFmtId="164" fontId="4" fillId="7" borderId="2" xfId="1" applyNumberFormat="1" applyFont="1" applyFill="1" applyBorder="1"/>
    <xf numFmtId="0" fontId="4" fillId="0" borderId="16" xfId="0" applyFont="1" applyBorder="1"/>
    <xf numFmtId="0" fontId="14" fillId="0" borderId="12" xfId="0" applyFont="1" applyBorder="1"/>
    <xf numFmtId="0" fontId="13" fillId="0" borderId="0" xfId="0" applyFont="1" applyBorder="1"/>
    <xf numFmtId="0" fontId="13" fillId="0" borderId="16" xfId="0" applyFont="1" applyBorder="1"/>
    <xf numFmtId="0" fontId="13" fillId="0" borderId="12" xfId="0" applyFont="1" applyBorder="1"/>
    <xf numFmtId="164" fontId="13" fillId="0" borderId="0" xfId="1" applyNumberFormat="1" applyFont="1" applyBorder="1"/>
    <xf numFmtId="164" fontId="13" fillId="0" borderId="16" xfId="1" applyNumberFormat="1" applyFont="1" applyBorder="1"/>
    <xf numFmtId="0" fontId="13" fillId="0" borderId="42" xfId="0" applyFont="1" applyBorder="1"/>
    <xf numFmtId="0" fontId="13" fillId="0" borderId="15" xfId="0" applyFont="1" applyBorder="1"/>
    <xf numFmtId="164" fontId="13" fillId="0" borderId="15" xfId="1" applyNumberFormat="1" applyFont="1" applyBorder="1"/>
    <xf numFmtId="164" fontId="13" fillId="0" borderId="38" xfId="1" applyNumberFormat="1" applyFont="1" applyBorder="1"/>
    <xf numFmtId="0" fontId="14" fillId="0" borderId="42" xfId="0" applyFont="1" applyBorder="1"/>
    <xf numFmtId="164" fontId="13" fillId="0" borderId="0" xfId="0" applyNumberFormat="1" applyFont="1" applyBorder="1"/>
    <xf numFmtId="0" fontId="14" fillId="0" borderId="9" xfId="0" applyFont="1" applyBorder="1"/>
    <xf numFmtId="0" fontId="13" fillId="0" borderId="10" xfId="0" applyFont="1" applyBorder="1"/>
    <xf numFmtId="164" fontId="14" fillId="0" borderId="10" xfId="1" applyNumberFormat="1" applyFont="1" applyBorder="1"/>
    <xf numFmtId="164" fontId="14" fillId="0" borderId="2" xfId="1" applyNumberFormat="1" applyFont="1" applyBorder="1"/>
    <xf numFmtId="164" fontId="0" fillId="0" borderId="0" xfId="0" applyNumberFormat="1" applyBorder="1"/>
    <xf numFmtId="164" fontId="0" fillId="0" borderId="0" xfId="0" applyNumberFormat="1" applyFill="1" applyBorder="1"/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7" fillId="0" borderId="17" xfId="0" applyFont="1" applyBorder="1" applyAlignment="1">
      <alignment horizontal="left"/>
    </xf>
    <xf numFmtId="0" fontId="7" fillId="0" borderId="19" xfId="0" applyFont="1" applyBorder="1" applyAlignment="1">
      <alignment horizontal="left"/>
    </xf>
    <xf numFmtId="0" fontId="18" fillId="2" borderId="8" xfId="0" applyFont="1" applyFill="1" applyBorder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34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164" fontId="4" fillId="0" borderId="8" xfId="0" applyNumberFormat="1" applyFont="1" applyBorder="1" applyAlignment="1">
      <alignment horizontal="center"/>
    </xf>
    <xf numFmtId="164" fontId="4" fillId="0" borderId="31" xfId="0" applyNumberFormat="1" applyFont="1" applyBorder="1" applyAlignment="1">
      <alignment horizontal="center"/>
    </xf>
    <xf numFmtId="164" fontId="4" fillId="0" borderId="11" xfId="0" applyNumberFormat="1" applyFont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0" fontId="2" fillId="2" borderId="33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12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4" borderId="42" xfId="0" applyFont="1" applyFill="1" applyBorder="1" applyAlignment="1">
      <alignment horizontal="left" vertical="center"/>
    </xf>
    <xf numFmtId="0" fontId="12" fillId="4" borderId="15" xfId="0" applyFont="1" applyFill="1" applyBorder="1" applyAlignment="1">
      <alignment horizontal="left" vertical="center"/>
    </xf>
    <xf numFmtId="0" fontId="12" fillId="4" borderId="14" xfId="0" applyFont="1" applyFill="1" applyBorder="1" applyAlignment="1">
      <alignment horizontal="left" vertical="center"/>
    </xf>
    <xf numFmtId="0" fontId="12" fillId="0" borderId="42" xfId="0" applyFont="1" applyBorder="1" applyAlignment="1">
      <alignment horizontal="left" vertical="center"/>
    </xf>
    <xf numFmtId="0" fontId="12" fillId="0" borderId="15" xfId="0" applyFont="1" applyBorder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0" fontId="10" fillId="0" borderId="44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9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left"/>
    </xf>
    <xf numFmtId="164" fontId="4" fillId="0" borderId="9" xfId="0" applyNumberFormat="1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0" fontId="14" fillId="0" borderId="10" xfId="0" applyFont="1" applyBorder="1" applyAlignment="1">
      <alignment horizontal="left"/>
    </xf>
    <xf numFmtId="0" fontId="14" fillId="0" borderId="2" xfId="0" applyFont="1" applyBorder="1" applyAlignment="1">
      <alignment horizontal="left"/>
    </xf>
    <xf numFmtId="3" fontId="12" fillId="0" borderId="17" xfId="0" applyNumberFormat="1" applyFont="1" applyBorder="1" applyAlignment="1">
      <alignment horizontal="right"/>
    </xf>
    <xf numFmtId="3" fontId="12" fillId="0" borderId="19" xfId="0" applyNumberFormat="1" applyFont="1" applyBorder="1" applyAlignment="1">
      <alignment horizontal="right"/>
    </xf>
    <xf numFmtId="164" fontId="12" fillId="0" borderId="17" xfId="0" applyNumberFormat="1" applyFont="1" applyBorder="1" applyAlignment="1">
      <alignment horizontal="center"/>
    </xf>
    <xf numFmtId="164" fontId="12" fillId="0" borderId="19" xfId="0" applyNumberFormat="1" applyFont="1" applyBorder="1" applyAlignment="1">
      <alignment horizontal="center"/>
    </xf>
    <xf numFmtId="0" fontId="15" fillId="2" borderId="9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center"/>
    </xf>
    <xf numFmtId="164" fontId="12" fillId="0" borderId="9" xfId="0" applyNumberFormat="1" applyFont="1" applyBorder="1" applyAlignment="1">
      <alignment horizontal="center"/>
    </xf>
    <xf numFmtId="164" fontId="12" fillId="0" borderId="2" xfId="0" applyNumberFormat="1" applyFont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12" fillId="0" borderId="32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2" fillId="2" borderId="32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/>
    </xf>
    <xf numFmtId="0" fontId="18" fillId="2" borderId="10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22" fillId="2" borderId="9" xfId="0" applyFont="1" applyFill="1" applyBorder="1" applyAlignment="1">
      <alignment horizontal="center"/>
    </xf>
    <xf numFmtId="0" fontId="22" fillId="2" borderId="10" xfId="0" applyFont="1" applyFill="1" applyBorder="1" applyAlignment="1">
      <alignment horizontal="center"/>
    </xf>
    <xf numFmtId="0" fontId="22" fillId="2" borderId="2" xfId="0" applyFont="1" applyFill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" xfId="0" applyFont="1" applyFill="1" applyBorder="1"/>
    <xf numFmtId="10" fontId="4" fillId="0" borderId="1" xfId="0" applyNumberFormat="1" applyFont="1" applyBorder="1"/>
    <xf numFmtId="43" fontId="0" fillId="0" borderId="0" xfId="0" applyNumberFormat="1"/>
  </cellXfs>
  <cellStyles count="3">
    <cellStyle name="Comma" xfId="1" builtinId="3"/>
    <cellStyle name="Normal" xfId="0" builtinId="0"/>
    <cellStyle name="Totals" xfId="2"/>
  </cellStyles>
  <dxfs count="3">
    <dxf>
      <fill>
        <patternFill patternType="none">
          <fgColor indexed="64"/>
          <bgColor auto="1"/>
        </patternFill>
      </fill>
    </dxf>
    <dxf>
      <font>
        <color theme="1" tint="0.14996795556505021"/>
      </font>
      <fill>
        <patternFill>
          <bgColor theme="4" tint="0.79998168889431442"/>
        </patternFill>
      </fill>
      <border>
        <top style="thin">
          <color theme="4"/>
        </top>
        <bottom style="medium">
          <color theme="4" tint="0.39994506668294322"/>
        </bottom>
      </border>
    </dxf>
    <dxf>
      <font>
        <color theme="1" tint="0.499984740745262"/>
      </font>
      <border>
        <left/>
        <right style="dotted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dotted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2" defaultPivotStyle="PivotStyleMedium9">
    <tableStyle name="Balance Sheet" pivot="0" count="3">
      <tableStyleElement type="wholeTable" dxfId="2"/>
      <tableStyleElement type="totalRow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tabSelected="1" workbookViewId="0">
      <selection activeCell="B7" sqref="B7"/>
    </sheetView>
  </sheetViews>
  <sheetFormatPr defaultRowHeight="15" x14ac:dyDescent="0.25"/>
  <cols>
    <col min="1" max="1" width="29.85546875" style="1" bestFit="1" customWidth="1"/>
    <col min="2" max="2" width="9.28515625" style="1" bestFit="1" customWidth="1"/>
    <col min="3" max="3" width="19.7109375" style="1" bestFit="1" customWidth="1"/>
    <col min="4" max="5" width="9.140625" style="1"/>
    <col min="6" max="6" width="16.7109375" style="1" customWidth="1"/>
    <col min="7" max="7" width="9.140625" style="1"/>
    <col min="8" max="8" width="15" style="1" customWidth="1"/>
    <col min="9" max="16384" width="9.140625" style="1"/>
  </cols>
  <sheetData>
    <row r="1" spans="1:3" ht="19.5" thickBot="1" x14ac:dyDescent="0.35">
      <c r="A1" s="223" t="s">
        <v>105</v>
      </c>
      <c r="B1" s="224"/>
      <c r="C1" s="225"/>
    </row>
    <row r="2" spans="1:3" ht="28.5" x14ac:dyDescent="0.25">
      <c r="A2" s="138" t="s">
        <v>0</v>
      </c>
      <c r="B2" s="139" t="s">
        <v>1</v>
      </c>
      <c r="C2" s="139" t="s">
        <v>106</v>
      </c>
    </row>
    <row r="3" spans="1:3" x14ac:dyDescent="0.25">
      <c r="A3" s="129" t="s">
        <v>107</v>
      </c>
      <c r="B3" s="129">
        <v>9</v>
      </c>
      <c r="C3" s="140">
        <v>4500</v>
      </c>
    </row>
    <row r="4" spans="1:3" x14ac:dyDescent="0.25">
      <c r="A4" s="129" t="s">
        <v>112</v>
      </c>
      <c r="B4" s="129">
        <v>1</v>
      </c>
      <c r="C4" s="140">
        <v>200</v>
      </c>
    </row>
    <row r="5" spans="1:3" x14ac:dyDescent="0.25">
      <c r="A5" s="129" t="s">
        <v>108</v>
      </c>
      <c r="B5" s="129">
        <v>3</v>
      </c>
      <c r="C5" s="140">
        <v>900</v>
      </c>
    </row>
    <row r="6" spans="1:3" x14ac:dyDescent="0.25">
      <c r="A6" s="129" t="s">
        <v>2</v>
      </c>
      <c r="B6" s="129">
        <v>1</v>
      </c>
      <c r="C6" s="140">
        <v>900</v>
      </c>
    </row>
    <row r="7" spans="1:3" x14ac:dyDescent="0.25">
      <c r="A7" s="129" t="s">
        <v>3</v>
      </c>
      <c r="B7" s="129">
        <v>1</v>
      </c>
      <c r="C7" s="140">
        <v>500</v>
      </c>
    </row>
    <row r="8" spans="1:3" x14ac:dyDescent="0.25">
      <c r="A8" s="129" t="s">
        <v>209</v>
      </c>
      <c r="B8" s="129">
        <v>2</v>
      </c>
      <c r="C8" s="140">
        <v>1000</v>
      </c>
    </row>
    <row r="9" spans="1:3" x14ac:dyDescent="0.25">
      <c r="A9" s="129" t="s">
        <v>4</v>
      </c>
      <c r="B9" s="129">
        <v>1</v>
      </c>
      <c r="C9" s="140">
        <v>500</v>
      </c>
    </row>
    <row r="10" spans="1:3" x14ac:dyDescent="0.25">
      <c r="A10" s="129" t="s">
        <v>109</v>
      </c>
      <c r="B10" s="129">
        <v>6</v>
      </c>
      <c r="C10" s="140">
        <f>B10*50</f>
        <v>300</v>
      </c>
    </row>
    <row r="11" spans="1:3" x14ac:dyDescent="0.25">
      <c r="A11" s="141" t="s">
        <v>5</v>
      </c>
      <c r="B11" s="141">
        <v>1</v>
      </c>
      <c r="C11" s="140">
        <v>100</v>
      </c>
    </row>
    <row r="12" spans="1:3" x14ac:dyDescent="0.25">
      <c r="A12" s="141" t="s">
        <v>111</v>
      </c>
      <c r="B12" s="141">
        <v>1</v>
      </c>
      <c r="C12" s="140">
        <v>100</v>
      </c>
    </row>
    <row r="13" spans="1:3" ht="15.75" thickBot="1" x14ac:dyDescent="0.3">
      <c r="A13" s="142" t="s">
        <v>110</v>
      </c>
      <c r="B13" s="142">
        <v>1</v>
      </c>
      <c r="C13" s="143">
        <v>1000</v>
      </c>
    </row>
    <row r="14" spans="1:3" ht="15.75" thickBot="1" x14ac:dyDescent="0.3">
      <c r="A14" s="144" t="s">
        <v>6</v>
      </c>
      <c r="B14" s="135">
        <f>SUM(B3:B13)</f>
        <v>27</v>
      </c>
      <c r="C14" s="135">
        <f>SUM(C3:C13)</f>
        <v>10000</v>
      </c>
    </row>
    <row r="16" spans="1:3" ht="15.75" thickBot="1" x14ac:dyDescent="0.3"/>
    <row r="17" spans="1:3" ht="15.75" thickBot="1" x14ac:dyDescent="0.3">
      <c r="A17" s="227" t="s">
        <v>196</v>
      </c>
      <c r="B17" s="228"/>
      <c r="C17" s="135" t="s">
        <v>130</v>
      </c>
    </row>
    <row r="18" spans="1:3" x14ac:dyDescent="0.25">
      <c r="A18" s="226" t="s">
        <v>113</v>
      </c>
      <c r="B18" s="226"/>
      <c r="C18" s="136">
        <v>1200000</v>
      </c>
    </row>
    <row r="19" spans="1:3" x14ac:dyDescent="0.25">
      <c r="A19" s="229" t="s">
        <v>199</v>
      </c>
      <c r="B19" s="229"/>
      <c r="C19" s="137">
        <v>650000</v>
      </c>
    </row>
    <row r="21" spans="1:3" x14ac:dyDescent="0.25">
      <c r="A21" s="229" t="s">
        <v>203</v>
      </c>
      <c r="B21" s="229"/>
      <c r="C21" s="137">
        <v>50000</v>
      </c>
    </row>
  </sheetData>
  <mergeCells count="5">
    <mergeCell ref="A1:C1"/>
    <mergeCell ref="A18:B18"/>
    <mergeCell ref="A17:B17"/>
    <mergeCell ref="A19:B19"/>
    <mergeCell ref="A21:B2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showGridLines="0" workbookViewId="0">
      <selection activeCell="C19" sqref="C19:G20"/>
    </sheetView>
  </sheetViews>
  <sheetFormatPr defaultRowHeight="15" x14ac:dyDescent="0.25"/>
  <cols>
    <col min="1" max="1" width="39" style="130" customWidth="1"/>
    <col min="2" max="2" width="4.7109375" style="130" customWidth="1"/>
    <col min="3" max="6" width="16.85546875" style="130" customWidth="1"/>
    <col min="7" max="7" width="15.5703125" style="130" customWidth="1"/>
    <col min="8" max="8" width="10.5703125" style="130" bestFit="1" customWidth="1"/>
    <col min="9" max="9" width="11.5703125" style="130" bestFit="1" customWidth="1"/>
    <col min="10" max="16384" width="9.140625" style="130"/>
  </cols>
  <sheetData>
    <row r="1" spans="1:7" ht="16.5" thickBot="1" x14ac:dyDescent="0.3">
      <c r="A1" s="288" t="s">
        <v>126</v>
      </c>
      <c r="B1" s="289"/>
      <c r="C1" s="289"/>
      <c r="D1" s="289"/>
      <c r="E1" s="289"/>
      <c r="F1" s="289"/>
      <c r="G1" s="290"/>
    </row>
    <row r="2" spans="1:7" x14ac:dyDescent="0.25">
      <c r="A2" s="133" t="s">
        <v>0</v>
      </c>
      <c r="B2" s="58"/>
      <c r="C2" s="58" t="s">
        <v>67</v>
      </c>
      <c r="D2" s="58" t="s">
        <v>68</v>
      </c>
      <c r="E2" s="58" t="s">
        <v>69</v>
      </c>
      <c r="F2" s="58" t="s">
        <v>70</v>
      </c>
      <c r="G2" s="204" t="s">
        <v>163</v>
      </c>
    </row>
    <row r="3" spans="1:7" x14ac:dyDescent="0.25">
      <c r="A3" s="205" t="s">
        <v>148</v>
      </c>
      <c r="B3" s="206"/>
      <c r="C3" s="206"/>
      <c r="D3" s="206"/>
      <c r="E3" s="206"/>
      <c r="F3" s="206"/>
      <c r="G3" s="207"/>
    </row>
    <row r="4" spans="1:7" x14ac:dyDescent="0.25">
      <c r="A4" s="208" t="s">
        <v>156</v>
      </c>
      <c r="B4" s="206"/>
      <c r="C4" s="209">
        <f>'Income Statement'!C36</f>
        <v>-11131796.375</v>
      </c>
      <c r="D4" s="209">
        <f>'Income Statement'!D36</f>
        <v>-89206.491249999031</v>
      </c>
      <c r="E4" s="209">
        <f>'Income Statement'!E36</f>
        <v>3252585.7643581238</v>
      </c>
      <c r="F4" s="209">
        <f>'Income Statement'!F36</f>
        <v>5323195.5315500014</v>
      </c>
      <c r="G4" s="210">
        <f>'Income Statement'!G36</f>
        <v>7365752.4299839996</v>
      </c>
    </row>
    <row r="5" spans="1:7" x14ac:dyDescent="0.25">
      <c r="A5" s="208" t="s">
        <v>149</v>
      </c>
      <c r="B5" s="206"/>
      <c r="C5" s="209">
        <f>'Income Statement'!$C$16</f>
        <v>844900</v>
      </c>
      <c r="D5" s="209">
        <f>'Income Statement'!$C$16</f>
        <v>844900</v>
      </c>
      <c r="E5" s="209">
        <f>'Income Statement'!$C$16</f>
        <v>844900</v>
      </c>
      <c r="F5" s="209">
        <f>'Income Statement'!$C$16</f>
        <v>844900</v>
      </c>
      <c r="G5" s="210">
        <f>'Income Statement'!$C$16</f>
        <v>844900</v>
      </c>
    </row>
    <row r="6" spans="1:7" x14ac:dyDescent="0.25">
      <c r="A6" s="208"/>
      <c r="B6" s="206"/>
      <c r="C6" s="209"/>
      <c r="D6" s="206"/>
      <c r="E6" s="206"/>
      <c r="F6" s="206"/>
      <c r="G6" s="207"/>
    </row>
    <row r="7" spans="1:7" x14ac:dyDescent="0.25">
      <c r="A7" s="211" t="s">
        <v>157</v>
      </c>
      <c r="B7" s="212"/>
      <c r="C7" s="213">
        <f>SUM(C4:C6)</f>
        <v>-10286896.375</v>
      </c>
      <c r="D7" s="213">
        <f>SUM(D4:D6)</f>
        <v>755693.50875000097</v>
      </c>
      <c r="E7" s="213">
        <f>SUM(E4:E6)</f>
        <v>4097485.7643581238</v>
      </c>
      <c r="F7" s="213">
        <f>SUM(F4:F6)</f>
        <v>6168095.5315500014</v>
      </c>
      <c r="G7" s="214">
        <f>SUM(G4:G6)</f>
        <v>8210652.4299839996</v>
      </c>
    </row>
    <row r="8" spans="1:7" x14ac:dyDescent="0.25">
      <c r="A8" s="205" t="s">
        <v>127</v>
      </c>
      <c r="B8" s="206"/>
      <c r="C8" s="209" t="s">
        <v>50</v>
      </c>
      <c r="D8" s="206"/>
      <c r="E8" s="206"/>
      <c r="F8" s="206"/>
      <c r="G8" s="207"/>
    </row>
    <row r="9" spans="1:7" x14ac:dyDescent="0.25">
      <c r="A9" s="205" t="s">
        <v>158</v>
      </c>
      <c r="B9" s="206"/>
      <c r="C9" s="209" t="s">
        <v>50</v>
      </c>
      <c r="D9" s="206"/>
      <c r="E9" s="206"/>
      <c r="F9" s="206"/>
      <c r="G9" s="207"/>
    </row>
    <row r="10" spans="1:7" x14ac:dyDescent="0.25">
      <c r="A10" s="208"/>
      <c r="B10" s="206"/>
      <c r="C10" s="209"/>
      <c r="D10" s="206"/>
      <c r="E10" s="206"/>
      <c r="F10" s="206"/>
      <c r="G10" s="207"/>
    </row>
    <row r="11" spans="1:7" x14ac:dyDescent="0.25">
      <c r="A11" s="215" t="s">
        <v>159</v>
      </c>
      <c r="B11" s="212"/>
      <c r="C11" s="213">
        <f>SUM(C7:C10)</f>
        <v>-10286896.375</v>
      </c>
      <c r="D11" s="213">
        <f>SUM(D7:D10)</f>
        <v>755693.50875000097</v>
      </c>
      <c r="E11" s="213">
        <f>SUM(E7:E10)</f>
        <v>4097485.7643581238</v>
      </c>
      <c r="F11" s="213">
        <f>SUM(F7:F10)</f>
        <v>6168095.5315500014</v>
      </c>
      <c r="G11" s="214">
        <f>SUM(G7:G10)</f>
        <v>8210652.4299839996</v>
      </c>
    </row>
    <row r="12" spans="1:7" ht="15.75" thickBot="1" x14ac:dyDescent="0.3">
      <c r="A12" s="205" t="s">
        <v>160</v>
      </c>
      <c r="B12" s="206"/>
      <c r="C12" s="209">
        <f>'Project Cost'!C10</f>
        <v>8900000</v>
      </c>
      <c r="D12" s="216">
        <f>C13</f>
        <v>-1386896.375</v>
      </c>
      <c r="E12" s="216">
        <f>D13</f>
        <v>-631202.86624999903</v>
      </c>
      <c r="F12" s="216">
        <f>E13</f>
        <v>3466282.8981081247</v>
      </c>
      <c r="G12" s="210">
        <f>F13</f>
        <v>9634378.4296581261</v>
      </c>
    </row>
    <row r="13" spans="1:7" ht="15.75" thickBot="1" x14ac:dyDescent="0.3">
      <c r="A13" s="217" t="s">
        <v>161</v>
      </c>
      <c r="B13" s="218"/>
      <c r="C13" s="219">
        <f>C11+C12</f>
        <v>-1386896.375</v>
      </c>
      <c r="D13" s="219">
        <f>D11+D12</f>
        <v>-631202.86624999903</v>
      </c>
      <c r="E13" s="219">
        <f>E11+E12</f>
        <v>3466282.8981081247</v>
      </c>
      <c r="F13" s="219">
        <f>F11+F12</f>
        <v>9634378.4296581261</v>
      </c>
      <c r="G13" s="220">
        <f>G11+G12</f>
        <v>17845030.859642126</v>
      </c>
    </row>
    <row r="19" spans="3:9" x14ac:dyDescent="0.25">
      <c r="C19" s="221">
        <f>C13</f>
        <v>-1386896.375</v>
      </c>
      <c r="D19" s="221">
        <f t="shared" ref="D19:G19" si="0">D13</f>
        <v>-631202.86624999903</v>
      </c>
      <c r="E19" s="221">
        <f t="shared" si="0"/>
        <v>3466282.8981081247</v>
      </c>
      <c r="F19" s="221">
        <f t="shared" si="0"/>
        <v>9634378.4296581261</v>
      </c>
      <c r="G19" s="221">
        <f t="shared" si="0"/>
        <v>17845030.859642126</v>
      </c>
    </row>
    <row r="20" spans="3:9" x14ac:dyDescent="0.25">
      <c r="C20" s="221">
        <f>C19</f>
        <v>-1386896.375</v>
      </c>
      <c r="D20" s="221">
        <f>D19+C20</f>
        <v>-2018099.241249999</v>
      </c>
      <c r="E20" s="221">
        <f>E19+D20</f>
        <v>1448183.6568581257</v>
      </c>
      <c r="F20" s="221">
        <f>F19+E20</f>
        <v>11082562.086516252</v>
      </c>
      <c r="G20" s="221">
        <f>G19+F20</f>
        <v>28927592.946158379</v>
      </c>
      <c r="H20" s="222">
        <f>G20/12</f>
        <v>2410632.7455131984</v>
      </c>
      <c r="I20" s="221">
        <f>G20-18549000</f>
        <v>10378592.946158379</v>
      </c>
    </row>
    <row r="22" spans="3:9" x14ac:dyDescent="0.25">
      <c r="F22" s="221">
        <f>'Project Cost'!C12-'Cash Flow Statement'!F20</f>
        <v>7466437.9134837482</v>
      </c>
      <c r="G22" s="130">
        <f>H20/F22</f>
        <v>0.32286249125031924</v>
      </c>
    </row>
  </sheetData>
  <mergeCells count="1">
    <mergeCell ref="A1:G1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0"/>
  <sheetViews>
    <sheetView workbookViewId="0">
      <selection activeCell="E8" sqref="E8"/>
    </sheetView>
  </sheetViews>
  <sheetFormatPr defaultRowHeight="15" x14ac:dyDescent="0.25"/>
  <cols>
    <col min="2" max="2" width="16.85546875" bestFit="1" customWidth="1"/>
    <col min="3" max="3" width="15" bestFit="1" customWidth="1"/>
    <col min="7" max="7" width="31" bestFit="1" customWidth="1"/>
    <col min="8" max="8" width="17" customWidth="1"/>
    <col min="9" max="9" width="11.28515625" bestFit="1" customWidth="1"/>
    <col min="10" max="10" width="10.5703125" bestFit="1" customWidth="1"/>
    <col min="11" max="12" width="11.5703125" bestFit="1" customWidth="1"/>
  </cols>
  <sheetData>
    <row r="1" spans="2:12" x14ac:dyDescent="0.25">
      <c r="B1" s="291" t="s">
        <v>210</v>
      </c>
      <c r="C1" s="291"/>
      <c r="H1" t="s">
        <v>67</v>
      </c>
      <c r="I1" t="s">
        <v>68</v>
      </c>
      <c r="J1" t="s">
        <v>69</v>
      </c>
      <c r="K1" t="s">
        <v>70</v>
      </c>
      <c r="L1" t="s">
        <v>163</v>
      </c>
    </row>
    <row r="2" spans="2:12" x14ac:dyDescent="0.25">
      <c r="B2" s="2" t="s">
        <v>211</v>
      </c>
      <c r="C2" s="11">
        <v>-18549000</v>
      </c>
      <c r="G2" t="s">
        <v>212</v>
      </c>
      <c r="H2" s="221">
        <v>-1386896.375</v>
      </c>
      <c r="I2" s="221">
        <v>-631202.86624999903</v>
      </c>
      <c r="J2" s="221">
        <v>3466282.8981081247</v>
      </c>
      <c r="K2" s="221">
        <v>9634378.4296581261</v>
      </c>
      <c r="L2" s="221">
        <v>17845030.859642126</v>
      </c>
    </row>
    <row r="3" spans="2:12" x14ac:dyDescent="0.25">
      <c r="B3" s="2" t="s">
        <v>67</v>
      </c>
      <c r="C3" s="11">
        <v>-1386896.375</v>
      </c>
      <c r="G3" t="s">
        <v>213</v>
      </c>
      <c r="H3" s="221">
        <v>-1386896.375</v>
      </c>
      <c r="I3" s="221">
        <v>-2018099.241249999</v>
      </c>
      <c r="J3" s="221">
        <v>1448183.6568581257</v>
      </c>
      <c r="K3" s="221">
        <v>11082562.086516252</v>
      </c>
      <c r="L3" s="221">
        <v>28927592.946158379</v>
      </c>
    </row>
    <row r="4" spans="2:12" x14ac:dyDescent="0.25">
      <c r="B4" s="2" t="s">
        <v>68</v>
      </c>
      <c r="C4" s="11">
        <v>-631202.86624999903</v>
      </c>
    </row>
    <row r="5" spans="2:12" x14ac:dyDescent="0.25">
      <c r="B5" s="2" t="s">
        <v>69</v>
      </c>
      <c r="C5" s="11">
        <v>3466282.8981081247</v>
      </c>
      <c r="G5" s="294" t="s">
        <v>214</v>
      </c>
      <c r="H5" s="294">
        <f>L3/12</f>
        <v>2410632.7455131984</v>
      </c>
    </row>
    <row r="6" spans="2:12" x14ac:dyDescent="0.25">
      <c r="B6" s="2" t="s">
        <v>70</v>
      </c>
      <c r="C6" s="11">
        <v>9634378.4296581261</v>
      </c>
      <c r="G6" t="s">
        <v>215</v>
      </c>
      <c r="H6" s="55">
        <f>18549000-K3</f>
        <v>7466437.9134837482</v>
      </c>
    </row>
    <row r="7" spans="2:12" ht="15.75" thickBot="1" x14ac:dyDescent="0.3">
      <c r="B7" s="4" t="s">
        <v>163</v>
      </c>
      <c r="C7" s="64">
        <v>17845030.859642126</v>
      </c>
    </row>
    <row r="8" spans="2:12" ht="15.75" thickBot="1" x14ac:dyDescent="0.3">
      <c r="B8" s="292" t="s">
        <v>210</v>
      </c>
      <c r="C8" s="293">
        <f>IRR(C2:C7)</f>
        <v>9.9164098262254363E-2</v>
      </c>
      <c r="G8" t="s">
        <v>216</v>
      </c>
      <c r="H8">
        <f>H5/H6</f>
        <v>0.32286249125031924</v>
      </c>
    </row>
    <row r="10" spans="2:12" x14ac:dyDescent="0.25">
      <c r="G10" t="s">
        <v>217</v>
      </c>
      <c r="H10" s="6" t="s">
        <v>218</v>
      </c>
    </row>
  </sheetData>
  <mergeCells count="1">
    <mergeCell ref="B1:C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sqref="A1:C14"/>
    </sheetView>
  </sheetViews>
  <sheetFormatPr defaultColWidth="23" defaultRowHeight="18.75" customHeight="1" x14ac:dyDescent="0.25"/>
  <cols>
    <col min="1" max="1" width="17.7109375" style="1" customWidth="1"/>
    <col min="2" max="2" width="18" style="1" customWidth="1"/>
    <col min="3" max="3" width="18.85546875" style="1" customWidth="1"/>
    <col min="4" max="6" width="23" style="1"/>
    <col min="7" max="7" width="27.85546875" style="1" customWidth="1"/>
    <col min="8" max="16384" width="23" style="1"/>
  </cols>
  <sheetData>
    <row r="1" spans="1:8" ht="28.5" x14ac:dyDescent="0.25">
      <c r="A1" s="148" t="s">
        <v>7</v>
      </c>
      <c r="B1" s="145" t="s">
        <v>8</v>
      </c>
      <c r="C1" s="145" t="s">
        <v>23</v>
      </c>
      <c r="D1" s="145" t="s">
        <v>202</v>
      </c>
    </row>
    <row r="2" spans="1:8" ht="15.75" customHeight="1" x14ac:dyDescent="0.25">
      <c r="A2" s="149" t="s">
        <v>9</v>
      </c>
      <c r="B2" s="149" t="s">
        <v>10</v>
      </c>
      <c r="C2" s="150">
        <v>399999</v>
      </c>
      <c r="D2" s="146">
        <f>(C2-35000)/2</f>
        <v>182499.5</v>
      </c>
      <c r="H2" s="9"/>
    </row>
    <row r="3" spans="1:8" ht="15.75" customHeight="1" x14ac:dyDescent="0.25">
      <c r="A3" s="149" t="s">
        <v>11</v>
      </c>
      <c r="B3" s="149" t="s">
        <v>10</v>
      </c>
      <c r="C3" s="150">
        <v>399999</v>
      </c>
      <c r="D3" s="146">
        <f t="shared" ref="D3:D14" si="0">(C3-35000)/2</f>
        <v>182499.5</v>
      </c>
    </row>
    <row r="4" spans="1:8" ht="15.75" customHeight="1" x14ac:dyDescent="0.25">
      <c r="A4" s="149" t="s">
        <v>12</v>
      </c>
      <c r="B4" s="149" t="s">
        <v>10</v>
      </c>
      <c r="C4" s="150">
        <v>399999</v>
      </c>
      <c r="D4" s="146">
        <f t="shared" si="0"/>
        <v>182499.5</v>
      </c>
    </row>
    <row r="5" spans="1:8" ht="15.75" customHeight="1" x14ac:dyDescent="0.25">
      <c r="A5" s="149" t="s">
        <v>13</v>
      </c>
      <c r="B5" s="149" t="s">
        <v>10</v>
      </c>
      <c r="C5" s="150">
        <v>399999</v>
      </c>
      <c r="D5" s="146">
        <f t="shared" si="0"/>
        <v>182499.5</v>
      </c>
    </row>
    <row r="6" spans="1:8" ht="15.75" customHeight="1" x14ac:dyDescent="0.25">
      <c r="A6" s="149" t="s">
        <v>14</v>
      </c>
      <c r="B6" s="149" t="s">
        <v>10</v>
      </c>
      <c r="C6" s="150">
        <v>399999</v>
      </c>
      <c r="D6" s="146">
        <f t="shared" si="0"/>
        <v>182499.5</v>
      </c>
    </row>
    <row r="7" spans="1:8" ht="15.75" customHeight="1" x14ac:dyDescent="0.25">
      <c r="A7" s="149" t="s">
        <v>15</v>
      </c>
      <c r="B7" s="149" t="s">
        <v>10</v>
      </c>
      <c r="C7" s="150">
        <v>399999</v>
      </c>
      <c r="D7" s="146">
        <f t="shared" si="0"/>
        <v>182499.5</v>
      </c>
    </row>
    <row r="8" spans="1:8" ht="15.75" customHeight="1" x14ac:dyDescent="0.25">
      <c r="A8" s="149" t="s">
        <v>16</v>
      </c>
      <c r="B8" s="149" t="s">
        <v>10</v>
      </c>
      <c r="C8" s="150">
        <v>324999</v>
      </c>
      <c r="D8" s="146">
        <f t="shared" si="0"/>
        <v>144999.5</v>
      </c>
    </row>
    <row r="9" spans="1:8" ht="15.75" customHeight="1" x14ac:dyDescent="0.25">
      <c r="A9" s="149" t="s">
        <v>17</v>
      </c>
      <c r="B9" s="149" t="s">
        <v>10</v>
      </c>
      <c r="C9" s="150">
        <v>399999</v>
      </c>
      <c r="D9" s="146">
        <f t="shared" si="0"/>
        <v>182499.5</v>
      </c>
    </row>
    <row r="10" spans="1:8" ht="15.75" customHeight="1" x14ac:dyDescent="0.25">
      <c r="A10" s="149" t="s">
        <v>81</v>
      </c>
      <c r="B10" s="149" t="s">
        <v>18</v>
      </c>
      <c r="C10" s="150">
        <v>399999</v>
      </c>
      <c r="D10" s="146">
        <f t="shared" si="0"/>
        <v>182499.5</v>
      </c>
    </row>
    <row r="11" spans="1:8" ht="15.75" customHeight="1" x14ac:dyDescent="0.25">
      <c r="A11" s="149" t="s">
        <v>82</v>
      </c>
      <c r="B11" s="149" t="s">
        <v>18</v>
      </c>
      <c r="C11" s="150">
        <v>524999</v>
      </c>
      <c r="D11" s="146">
        <f t="shared" si="0"/>
        <v>244999.5</v>
      </c>
    </row>
    <row r="12" spans="1:8" ht="15.75" customHeight="1" x14ac:dyDescent="0.25">
      <c r="A12" s="149" t="s">
        <v>80</v>
      </c>
      <c r="B12" s="149" t="s">
        <v>20</v>
      </c>
      <c r="C12" s="150">
        <v>399999</v>
      </c>
      <c r="D12" s="146">
        <f t="shared" si="0"/>
        <v>182499.5</v>
      </c>
    </row>
    <row r="13" spans="1:8" ht="15.75" customHeight="1" x14ac:dyDescent="0.25">
      <c r="A13" s="149" t="s">
        <v>21</v>
      </c>
      <c r="B13" s="149" t="s">
        <v>18</v>
      </c>
      <c r="C13" s="150">
        <v>399999</v>
      </c>
      <c r="D13" s="146">
        <f t="shared" si="0"/>
        <v>182499.5</v>
      </c>
    </row>
    <row r="14" spans="1:8" ht="15.75" customHeight="1" x14ac:dyDescent="0.25">
      <c r="A14" s="149" t="s">
        <v>22</v>
      </c>
      <c r="B14" s="149" t="s">
        <v>19</v>
      </c>
      <c r="C14" s="150">
        <v>324999</v>
      </c>
      <c r="D14" s="146">
        <f t="shared" si="0"/>
        <v>144999.5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sqref="A1:C1"/>
    </sheetView>
  </sheetViews>
  <sheetFormatPr defaultRowHeight="15" x14ac:dyDescent="0.25"/>
  <cols>
    <col min="1" max="1" width="28.42578125" customWidth="1"/>
    <col min="2" max="2" width="14.28515625" customWidth="1"/>
    <col min="3" max="3" width="15.7109375" customWidth="1"/>
    <col min="5" max="5" width="11.5703125" bestFit="1" customWidth="1"/>
  </cols>
  <sheetData>
    <row r="1" spans="1:5" ht="19.5" thickBot="1" x14ac:dyDescent="0.35">
      <c r="A1" s="232" t="s">
        <v>140</v>
      </c>
      <c r="B1" s="232"/>
      <c r="C1" s="232"/>
    </row>
    <row r="2" spans="1:5" ht="15.75" thickBot="1" x14ac:dyDescent="0.3">
      <c r="A2" s="147" t="s">
        <v>141</v>
      </c>
      <c r="B2" s="147" t="s">
        <v>130</v>
      </c>
      <c r="C2" s="147" t="s">
        <v>130</v>
      </c>
    </row>
    <row r="3" spans="1:5" x14ac:dyDescent="0.25">
      <c r="A3" s="235" t="s">
        <v>142</v>
      </c>
      <c r="B3" s="236"/>
      <c r="C3" s="153"/>
    </row>
    <row r="4" spans="1:5" x14ac:dyDescent="0.25">
      <c r="A4" s="2" t="s">
        <v>143</v>
      </c>
      <c r="B4" s="11">
        <f>'Fixed Assets'!E5</f>
        <v>1520000</v>
      </c>
      <c r="C4" s="237">
        <f>SUM(B4:B7)</f>
        <v>9649000</v>
      </c>
    </row>
    <row r="5" spans="1:5" x14ac:dyDescent="0.25">
      <c r="A5" s="2" t="s">
        <v>33</v>
      </c>
      <c r="B5" s="11">
        <f>'Fixed Assets'!E23</f>
        <v>3813000</v>
      </c>
      <c r="C5" s="238"/>
    </row>
    <row r="6" spans="1:5" x14ac:dyDescent="0.25">
      <c r="A6" s="2" t="s">
        <v>65</v>
      </c>
      <c r="B6" s="11">
        <f>'Fixed Assets'!E30</f>
        <v>3116000</v>
      </c>
      <c r="C6" s="238"/>
    </row>
    <row r="7" spans="1:5" x14ac:dyDescent="0.25">
      <c r="A7" s="4" t="s">
        <v>113</v>
      </c>
      <c r="B7" s="64">
        <f>'Area, Building'!C18</f>
        <v>1200000</v>
      </c>
      <c r="C7" s="239"/>
    </row>
    <row r="8" spans="1:5" x14ac:dyDescent="0.25">
      <c r="A8" s="233" t="s">
        <v>128</v>
      </c>
      <c r="B8" s="234"/>
      <c r="C8" s="72"/>
    </row>
    <row r="9" spans="1:5" x14ac:dyDescent="0.25">
      <c r="A9" s="2" t="s">
        <v>115</v>
      </c>
      <c r="B9" s="11">
        <v>5000000</v>
      </c>
      <c r="C9" s="154"/>
    </row>
    <row r="10" spans="1:5" x14ac:dyDescent="0.25">
      <c r="A10" s="2" t="s">
        <v>144</v>
      </c>
      <c r="B10" s="11">
        <f>'Area, Building'!C19*6</f>
        <v>3900000</v>
      </c>
      <c r="C10" s="157">
        <f>SUM(B9:B10)</f>
        <v>8900000</v>
      </c>
    </row>
    <row r="11" spans="1:5" ht="16.5" thickBot="1" x14ac:dyDescent="0.3">
      <c r="A11" s="151"/>
      <c r="B11" s="152"/>
      <c r="C11" s="155"/>
    </row>
    <row r="12" spans="1:5" ht="16.5" thickBot="1" x14ac:dyDescent="0.3">
      <c r="A12" s="230" t="s">
        <v>145</v>
      </c>
      <c r="B12" s="231"/>
      <c r="C12" s="56">
        <f>SUM(C3:C11)</f>
        <v>18549000</v>
      </c>
    </row>
    <row r="13" spans="1:5" x14ac:dyDescent="0.25">
      <c r="E13" s="55"/>
    </row>
  </sheetData>
  <mergeCells count="5">
    <mergeCell ref="A12:B12"/>
    <mergeCell ref="A1:C1"/>
    <mergeCell ref="A8:B8"/>
    <mergeCell ref="A3:B3"/>
    <mergeCell ref="C4:C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topLeftCell="A9" workbookViewId="0">
      <selection sqref="A1:E32"/>
    </sheetView>
  </sheetViews>
  <sheetFormatPr defaultColWidth="27.85546875" defaultRowHeight="15" x14ac:dyDescent="0.25"/>
  <cols>
    <col min="1" max="1" width="24.5703125" style="1" customWidth="1"/>
    <col min="2" max="2" width="12.7109375" style="1" customWidth="1"/>
    <col min="3" max="3" width="14.7109375" style="1" customWidth="1"/>
    <col min="4" max="4" width="11.7109375" style="1" customWidth="1"/>
    <col min="5" max="5" width="14.5703125" style="1" customWidth="1"/>
    <col min="6" max="16384" width="27.85546875" style="1"/>
  </cols>
  <sheetData>
    <row r="1" spans="1:5" ht="19.5" thickBot="1" x14ac:dyDescent="0.35">
      <c r="A1" s="240" t="s">
        <v>95</v>
      </c>
      <c r="B1" s="241"/>
      <c r="C1" s="241"/>
      <c r="D1" s="241"/>
      <c r="E1" s="242"/>
    </row>
    <row r="2" spans="1:5" x14ac:dyDescent="0.25">
      <c r="A2" s="148" t="s">
        <v>34</v>
      </c>
      <c r="B2" s="145" t="s">
        <v>25</v>
      </c>
      <c r="C2" s="145" t="s">
        <v>24</v>
      </c>
      <c r="D2" s="145" t="s">
        <v>26</v>
      </c>
      <c r="E2" s="174" t="s">
        <v>130</v>
      </c>
    </row>
    <row r="3" spans="1:5" x14ac:dyDescent="0.25">
      <c r="A3" s="246" t="s">
        <v>131</v>
      </c>
      <c r="B3" s="247"/>
      <c r="C3" s="247"/>
      <c r="D3" s="248"/>
      <c r="E3" s="184"/>
    </row>
    <row r="4" spans="1:5" x14ac:dyDescent="0.25">
      <c r="A4" s="185" t="s">
        <v>29</v>
      </c>
      <c r="B4" s="175">
        <v>4</v>
      </c>
      <c r="C4" s="176">
        <v>80000</v>
      </c>
      <c r="D4" s="177">
        <f>C4*4</f>
        <v>320000</v>
      </c>
      <c r="E4" s="184"/>
    </row>
    <row r="5" spans="1:5" x14ac:dyDescent="0.25">
      <c r="A5" s="185" t="s">
        <v>35</v>
      </c>
      <c r="B5" s="175">
        <v>1</v>
      </c>
      <c r="C5" s="176">
        <v>1200000</v>
      </c>
      <c r="D5" s="177">
        <v>1200000</v>
      </c>
      <c r="E5" s="186">
        <f>SUM(D4:D5)</f>
        <v>1520000</v>
      </c>
    </row>
    <row r="6" spans="1:5" x14ac:dyDescent="0.25">
      <c r="A6" s="249" t="s">
        <v>33</v>
      </c>
      <c r="B6" s="250"/>
      <c r="C6" s="250"/>
      <c r="D6" s="251"/>
      <c r="E6" s="184"/>
    </row>
    <row r="7" spans="1:5" x14ac:dyDescent="0.25">
      <c r="A7" s="185" t="s">
        <v>54</v>
      </c>
      <c r="B7" s="175">
        <v>180</v>
      </c>
      <c r="C7" s="178">
        <v>2000</v>
      </c>
      <c r="D7" s="179">
        <f>B7*C7</f>
        <v>360000</v>
      </c>
      <c r="E7" s="184"/>
    </row>
    <row r="8" spans="1:5" x14ac:dyDescent="0.25">
      <c r="A8" s="185" t="s">
        <v>89</v>
      </c>
      <c r="B8" s="175">
        <v>10</v>
      </c>
      <c r="C8" s="178">
        <v>4000</v>
      </c>
      <c r="D8" s="180">
        <f t="shared" ref="D8:D23" si="0">C8*B8</f>
        <v>40000</v>
      </c>
      <c r="E8" s="184"/>
    </row>
    <row r="9" spans="1:5" x14ac:dyDescent="0.25">
      <c r="A9" s="185" t="s">
        <v>90</v>
      </c>
      <c r="B9" s="175">
        <v>10</v>
      </c>
      <c r="C9" s="181">
        <v>6000</v>
      </c>
      <c r="D9" s="180">
        <f t="shared" si="0"/>
        <v>60000</v>
      </c>
      <c r="E9" s="184"/>
    </row>
    <row r="10" spans="1:5" x14ac:dyDescent="0.25">
      <c r="A10" s="185" t="s">
        <v>32</v>
      </c>
      <c r="B10" s="175">
        <v>30</v>
      </c>
      <c r="C10" s="181">
        <v>60000</v>
      </c>
      <c r="D10" s="180">
        <f t="shared" si="0"/>
        <v>1800000</v>
      </c>
      <c r="E10" s="184"/>
    </row>
    <row r="11" spans="1:5" x14ac:dyDescent="0.25">
      <c r="A11" s="185" t="s">
        <v>55</v>
      </c>
      <c r="B11" s="175">
        <v>40</v>
      </c>
      <c r="C11" s="181">
        <v>2500</v>
      </c>
      <c r="D11" s="180">
        <f t="shared" si="0"/>
        <v>100000</v>
      </c>
      <c r="E11" s="184"/>
    </row>
    <row r="12" spans="1:5" x14ac:dyDescent="0.25">
      <c r="A12" s="185" t="s">
        <v>56</v>
      </c>
      <c r="B12" s="175">
        <v>15</v>
      </c>
      <c r="C12" s="176">
        <v>10000</v>
      </c>
      <c r="D12" s="177">
        <f t="shared" si="0"/>
        <v>150000</v>
      </c>
      <c r="E12" s="184"/>
    </row>
    <row r="13" spans="1:5" x14ac:dyDescent="0.25">
      <c r="A13" s="185" t="s">
        <v>60</v>
      </c>
      <c r="B13" s="175">
        <v>30</v>
      </c>
      <c r="C13" s="176">
        <v>2500</v>
      </c>
      <c r="D13" s="177">
        <f t="shared" si="0"/>
        <v>75000</v>
      </c>
      <c r="E13" s="184"/>
    </row>
    <row r="14" spans="1:5" x14ac:dyDescent="0.25">
      <c r="A14" s="185" t="s">
        <v>57</v>
      </c>
      <c r="B14" s="175">
        <v>20</v>
      </c>
      <c r="C14" s="176">
        <v>7000</v>
      </c>
      <c r="D14" s="177">
        <f t="shared" si="0"/>
        <v>140000</v>
      </c>
      <c r="E14" s="184"/>
    </row>
    <row r="15" spans="1:5" x14ac:dyDescent="0.25">
      <c r="A15" s="185" t="s">
        <v>58</v>
      </c>
      <c r="B15" s="175">
        <v>1</v>
      </c>
      <c r="C15" s="176">
        <v>150000</v>
      </c>
      <c r="D15" s="177">
        <f t="shared" si="0"/>
        <v>150000</v>
      </c>
      <c r="E15" s="184"/>
    </row>
    <row r="16" spans="1:5" x14ac:dyDescent="0.25">
      <c r="A16" s="185" t="s">
        <v>59</v>
      </c>
      <c r="B16" s="175">
        <v>10</v>
      </c>
      <c r="C16" s="176">
        <v>7000</v>
      </c>
      <c r="D16" s="177">
        <f t="shared" si="0"/>
        <v>70000</v>
      </c>
      <c r="E16" s="184"/>
    </row>
    <row r="17" spans="1:5" x14ac:dyDescent="0.25">
      <c r="A17" s="185" t="s">
        <v>61</v>
      </c>
      <c r="B17" s="175">
        <v>45</v>
      </c>
      <c r="C17" s="176">
        <v>3500</v>
      </c>
      <c r="D17" s="177">
        <f t="shared" si="0"/>
        <v>157500</v>
      </c>
      <c r="E17" s="184"/>
    </row>
    <row r="18" spans="1:5" x14ac:dyDescent="0.25">
      <c r="A18" s="185" t="s">
        <v>62</v>
      </c>
      <c r="B18" s="175">
        <v>45</v>
      </c>
      <c r="C18" s="176">
        <v>5000</v>
      </c>
      <c r="D18" s="177">
        <f t="shared" si="0"/>
        <v>225000</v>
      </c>
      <c r="E18" s="187"/>
    </row>
    <row r="19" spans="1:5" x14ac:dyDescent="0.25">
      <c r="A19" s="188" t="s">
        <v>204</v>
      </c>
      <c r="B19" s="175">
        <v>10</v>
      </c>
      <c r="C19" s="176">
        <v>7000</v>
      </c>
      <c r="D19" s="176">
        <f t="shared" si="0"/>
        <v>70000</v>
      </c>
      <c r="E19" s="187"/>
    </row>
    <row r="20" spans="1:5" x14ac:dyDescent="0.25">
      <c r="A20" s="188" t="s">
        <v>87</v>
      </c>
      <c r="B20" s="175">
        <v>5</v>
      </c>
      <c r="C20" s="176">
        <v>9000</v>
      </c>
      <c r="D20" s="176">
        <f t="shared" si="0"/>
        <v>45000</v>
      </c>
      <c r="E20" s="187"/>
    </row>
    <row r="21" spans="1:5" x14ac:dyDescent="0.25">
      <c r="A21" s="188" t="s">
        <v>91</v>
      </c>
      <c r="B21" s="175"/>
      <c r="C21" s="176">
        <v>200000</v>
      </c>
      <c r="D21" s="176">
        <v>200000</v>
      </c>
      <c r="E21" s="187"/>
    </row>
    <row r="22" spans="1:5" x14ac:dyDescent="0.25">
      <c r="A22" s="188" t="s">
        <v>84</v>
      </c>
      <c r="B22" s="175">
        <v>350</v>
      </c>
      <c r="C22" s="176">
        <v>350</v>
      </c>
      <c r="D22" s="176">
        <f t="shared" si="0"/>
        <v>122500</v>
      </c>
      <c r="E22" s="187"/>
    </row>
    <row r="23" spans="1:5" x14ac:dyDescent="0.25">
      <c r="A23" s="188" t="s">
        <v>85</v>
      </c>
      <c r="B23" s="175">
        <v>60</v>
      </c>
      <c r="C23" s="176">
        <v>800</v>
      </c>
      <c r="D23" s="176">
        <f t="shared" si="0"/>
        <v>48000</v>
      </c>
      <c r="E23" s="187">
        <f>SUM(D7:D23)</f>
        <v>3813000</v>
      </c>
    </row>
    <row r="24" spans="1:5" x14ac:dyDescent="0.25">
      <c r="A24" s="249" t="s">
        <v>65</v>
      </c>
      <c r="B24" s="250"/>
      <c r="C24" s="250"/>
      <c r="D24" s="251"/>
      <c r="E24" s="184"/>
    </row>
    <row r="25" spans="1:5" x14ac:dyDescent="0.25">
      <c r="A25" s="189" t="s">
        <v>31</v>
      </c>
      <c r="B25" s="175">
        <v>11</v>
      </c>
      <c r="C25" s="106">
        <v>50000</v>
      </c>
      <c r="D25" s="179">
        <f t="shared" ref="D25:D30" si="1">C25*B25</f>
        <v>550000</v>
      </c>
      <c r="E25" s="184"/>
    </row>
    <row r="26" spans="1:5" x14ac:dyDescent="0.25">
      <c r="A26" s="189" t="s">
        <v>83</v>
      </c>
      <c r="B26" s="175">
        <v>60</v>
      </c>
      <c r="C26" s="181">
        <v>35000</v>
      </c>
      <c r="D26" s="180">
        <f t="shared" si="1"/>
        <v>2100000</v>
      </c>
      <c r="E26" s="184"/>
    </row>
    <row r="27" spans="1:5" x14ac:dyDescent="0.25">
      <c r="A27" s="189" t="s">
        <v>28</v>
      </c>
      <c r="B27" s="175">
        <v>3</v>
      </c>
      <c r="C27" s="181">
        <v>40000</v>
      </c>
      <c r="D27" s="180">
        <f t="shared" si="1"/>
        <v>120000</v>
      </c>
      <c r="E27" s="184"/>
    </row>
    <row r="28" spans="1:5" x14ac:dyDescent="0.25">
      <c r="A28" s="189" t="s">
        <v>88</v>
      </c>
      <c r="B28" s="175">
        <v>2</v>
      </c>
      <c r="C28" s="181">
        <v>5000</v>
      </c>
      <c r="D28" s="180">
        <f t="shared" si="1"/>
        <v>10000</v>
      </c>
      <c r="E28" s="184"/>
    </row>
    <row r="29" spans="1:5" x14ac:dyDescent="0.25">
      <c r="A29" s="189" t="s">
        <v>146</v>
      </c>
      <c r="B29" s="175">
        <v>12</v>
      </c>
      <c r="C29" s="181">
        <v>3000</v>
      </c>
      <c r="D29" s="180">
        <f t="shared" si="1"/>
        <v>36000</v>
      </c>
      <c r="E29" s="184"/>
    </row>
    <row r="30" spans="1:5" ht="15.75" thickBot="1" x14ac:dyDescent="0.3">
      <c r="A30" s="190" t="s">
        <v>30</v>
      </c>
      <c r="B30" s="191">
        <v>2</v>
      </c>
      <c r="C30" s="192">
        <v>150000</v>
      </c>
      <c r="D30" s="193">
        <f t="shared" si="1"/>
        <v>300000</v>
      </c>
      <c r="E30" s="194">
        <f>SUM(D25:D30)</f>
        <v>3116000</v>
      </c>
    </row>
    <row r="31" spans="1:5" ht="15.75" thickBot="1" x14ac:dyDescent="0.3">
      <c r="A31" s="252"/>
      <c r="B31" s="253"/>
      <c r="C31" s="253"/>
      <c r="D31" s="254"/>
      <c r="E31" s="183"/>
    </row>
    <row r="32" spans="1:5" ht="15.75" thickBot="1" x14ac:dyDescent="0.3">
      <c r="A32" s="243" t="s">
        <v>94</v>
      </c>
      <c r="B32" s="244"/>
      <c r="C32" s="244"/>
      <c r="D32" s="245"/>
      <c r="E32" s="182">
        <f>SUM(E3:E30)</f>
        <v>8449000</v>
      </c>
    </row>
  </sheetData>
  <mergeCells count="6">
    <mergeCell ref="A1:E1"/>
    <mergeCell ref="A32:D32"/>
    <mergeCell ref="A3:D3"/>
    <mergeCell ref="A6:D6"/>
    <mergeCell ref="A24:D24"/>
    <mergeCell ref="A31:D3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activeCell="B19" sqref="B19"/>
    </sheetView>
  </sheetViews>
  <sheetFormatPr defaultRowHeight="15" x14ac:dyDescent="0.25"/>
  <cols>
    <col min="1" max="1" width="20.28515625" customWidth="1"/>
    <col min="2" max="2" width="12.5703125" bestFit="1" customWidth="1"/>
    <col min="3" max="3" width="14.85546875" bestFit="1" customWidth="1"/>
    <col min="4" max="4" width="12.5703125" bestFit="1" customWidth="1"/>
    <col min="5" max="5" width="4.7109375" customWidth="1"/>
    <col min="6" max="6" width="19" bestFit="1" customWidth="1"/>
    <col min="7" max="7" width="12.5703125" bestFit="1" customWidth="1"/>
    <col min="8" max="8" width="14.85546875" bestFit="1" customWidth="1"/>
    <col min="9" max="9" width="12.5703125" bestFit="1" customWidth="1"/>
    <col min="11" max="11" width="19" bestFit="1" customWidth="1"/>
    <col min="12" max="12" width="12.5703125" bestFit="1" customWidth="1"/>
    <col min="13" max="13" width="14.85546875" bestFit="1" customWidth="1"/>
    <col min="14" max="14" width="12.5703125" bestFit="1" customWidth="1"/>
  </cols>
  <sheetData>
    <row r="1" spans="1:14" ht="15.75" thickBot="1" x14ac:dyDescent="0.3">
      <c r="A1" s="255" t="s">
        <v>134</v>
      </c>
      <c r="B1" s="256"/>
      <c r="C1" s="256"/>
      <c r="D1" s="257"/>
      <c r="F1" s="255" t="s">
        <v>137</v>
      </c>
      <c r="G1" s="256"/>
      <c r="H1" s="256"/>
      <c r="I1" s="257"/>
      <c r="K1" s="255" t="s">
        <v>138</v>
      </c>
      <c r="L1" s="256"/>
      <c r="M1" s="256"/>
      <c r="N1" s="257"/>
    </row>
    <row r="2" spans="1:14" ht="15.75" thickBot="1" x14ac:dyDescent="0.3">
      <c r="A2" s="5" t="s">
        <v>0</v>
      </c>
      <c r="B2" s="18" t="s">
        <v>130</v>
      </c>
      <c r="C2" s="17" t="s">
        <v>0</v>
      </c>
      <c r="D2" s="5" t="s">
        <v>130</v>
      </c>
      <c r="F2" s="5" t="s">
        <v>0</v>
      </c>
      <c r="G2" s="18" t="s">
        <v>130</v>
      </c>
      <c r="H2" s="17" t="s">
        <v>0</v>
      </c>
      <c r="I2" s="5" t="s">
        <v>130</v>
      </c>
      <c r="K2" s="5" t="s">
        <v>0</v>
      </c>
      <c r="L2" s="18" t="s">
        <v>130</v>
      </c>
      <c r="M2" s="17" t="s">
        <v>0</v>
      </c>
      <c r="N2" s="5" t="s">
        <v>130</v>
      </c>
    </row>
    <row r="3" spans="1:14" x14ac:dyDescent="0.25">
      <c r="A3" s="23" t="s">
        <v>136</v>
      </c>
      <c r="B3" s="24">
        <v>0</v>
      </c>
      <c r="C3" s="30"/>
      <c r="D3" s="28"/>
      <c r="F3" s="23" t="s">
        <v>136</v>
      </c>
      <c r="G3" s="31">
        <f>D7</f>
        <v>844900</v>
      </c>
      <c r="H3" s="29"/>
      <c r="I3" s="28"/>
      <c r="K3" s="23" t="s">
        <v>136</v>
      </c>
      <c r="L3" s="31">
        <f>I7</f>
        <v>1689800</v>
      </c>
      <c r="M3" s="30"/>
      <c r="N3" s="27"/>
    </row>
    <row r="4" spans="1:14" ht="30" x14ac:dyDescent="0.25">
      <c r="A4" s="13" t="s">
        <v>131</v>
      </c>
      <c r="B4" s="22">
        <f>'Fixed Assets'!E5*0.1</f>
        <v>152000</v>
      </c>
      <c r="C4" s="14"/>
      <c r="D4" s="3"/>
      <c r="F4" s="13" t="s">
        <v>131</v>
      </c>
      <c r="G4" s="22">
        <f>'Fixed Assets'!E5*0.1</f>
        <v>152000</v>
      </c>
      <c r="H4" s="14"/>
      <c r="I4" s="3"/>
      <c r="K4" s="13" t="s">
        <v>131</v>
      </c>
      <c r="L4" s="22">
        <f>'Fixed Assets'!E5*0.1</f>
        <v>152000</v>
      </c>
      <c r="M4" s="14"/>
      <c r="N4" s="3"/>
    </row>
    <row r="5" spans="1:14" x14ac:dyDescent="0.25">
      <c r="A5" s="2" t="s">
        <v>33</v>
      </c>
      <c r="B5" s="16">
        <f>'Fixed Assets'!E23*0.1</f>
        <v>381300</v>
      </c>
      <c r="C5" s="15"/>
      <c r="D5" s="2"/>
      <c r="F5" s="2" t="s">
        <v>33</v>
      </c>
      <c r="G5" s="16">
        <f>'Fixed Assets'!E23*0.1</f>
        <v>381300</v>
      </c>
      <c r="H5" s="15"/>
      <c r="I5" s="2"/>
      <c r="K5" s="2" t="s">
        <v>33</v>
      </c>
      <c r="L5" s="16">
        <f>'Fixed Assets'!E23*0.1</f>
        <v>381300</v>
      </c>
      <c r="M5" s="15"/>
      <c r="N5" s="2"/>
    </row>
    <row r="6" spans="1:14" x14ac:dyDescent="0.25">
      <c r="A6" s="2" t="s">
        <v>132</v>
      </c>
      <c r="B6" s="16">
        <f>'Fixed Assets'!E30*0.1</f>
        <v>311600</v>
      </c>
      <c r="C6" s="15"/>
      <c r="D6" s="2"/>
      <c r="F6" s="2" t="s">
        <v>132</v>
      </c>
      <c r="G6" s="16">
        <f>'Fixed Assets'!E30*0.1</f>
        <v>311600</v>
      </c>
      <c r="H6" s="15"/>
      <c r="I6" s="2"/>
      <c r="K6" s="2" t="s">
        <v>132</v>
      </c>
      <c r="L6" s="16">
        <f>'Fixed Assets'!E30*0.1</f>
        <v>311600</v>
      </c>
      <c r="M6" s="15"/>
      <c r="N6" s="2"/>
    </row>
    <row r="7" spans="1:14" ht="15.75" thickBot="1" x14ac:dyDescent="0.3">
      <c r="A7" s="2"/>
      <c r="B7" s="16"/>
      <c r="C7" s="15" t="s">
        <v>133</v>
      </c>
      <c r="D7" s="11">
        <f>SUM(B3:B7)</f>
        <v>844900</v>
      </c>
      <c r="F7" s="2"/>
      <c r="G7" s="16"/>
      <c r="H7" s="15" t="s">
        <v>133</v>
      </c>
      <c r="I7" s="11">
        <f>SUM(G3:G7)</f>
        <v>1689800</v>
      </c>
      <c r="K7" s="2"/>
      <c r="L7" s="16"/>
      <c r="M7" s="15" t="s">
        <v>133</v>
      </c>
      <c r="N7" s="11">
        <f>SUM(L3:L7)</f>
        <v>2534700</v>
      </c>
    </row>
    <row r="8" spans="1:14" ht="15.75" thickBot="1" x14ac:dyDescent="0.3">
      <c r="A8" s="5" t="s">
        <v>45</v>
      </c>
      <c r="B8" s="19">
        <f>SUM(B4:B7)</f>
        <v>844900</v>
      </c>
      <c r="C8" s="17" t="s">
        <v>45</v>
      </c>
      <c r="D8" s="10">
        <f>SUM(D7)</f>
        <v>844900</v>
      </c>
      <c r="F8" s="5" t="s">
        <v>45</v>
      </c>
      <c r="G8" s="19">
        <f>SUM(G3:G7)</f>
        <v>1689800</v>
      </c>
      <c r="H8" s="17" t="s">
        <v>45</v>
      </c>
      <c r="I8" s="10">
        <f>SUM(I7)</f>
        <v>1689800</v>
      </c>
      <c r="K8" s="5" t="s">
        <v>45</v>
      </c>
      <c r="L8" s="19">
        <f>SUM(L3:L7)</f>
        <v>2534700</v>
      </c>
      <c r="M8" s="17" t="s">
        <v>45</v>
      </c>
      <c r="N8" s="10">
        <f>SUM(N7)</f>
        <v>2534700</v>
      </c>
    </row>
    <row r="9" spans="1:14" ht="15.75" thickBot="1" x14ac:dyDescent="0.3"/>
    <row r="10" spans="1:14" ht="15.75" thickBot="1" x14ac:dyDescent="0.3">
      <c r="A10" s="258" t="s">
        <v>139</v>
      </c>
      <c r="B10" s="259"/>
      <c r="C10" s="259"/>
      <c r="D10" s="260"/>
      <c r="F10" s="255" t="s">
        <v>197</v>
      </c>
      <c r="G10" s="256"/>
      <c r="H10" s="256"/>
      <c r="I10" s="257"/>
    </row>
    <row r="11" spans="1:14" ht="15.75" thickBot="1" x14ac:dyDescent="0.3">
      <c r="A11" s="5" t="s">
        <v>0</v>
      </c>
      <c r="B11" s="18" t="s">
        <v>130</v>
      </c>
      <c r="C11" s="21" t="s">
        <v>0</v>
      </c>
      <c r="D11" s="20" t="s">
        <v>130</v>
      </c>
      <c r="F11" s="5" t="s">
        <v>0</v>
      </c>
      <c r="G11" s="5" t="s">
        <v>130</v>
      </c>
      <c r="H11" s="17" t="s">
        <v>0</v>
      </c>
      <c r="I11" s="5" t="s">
        <v>130</v>
      </c>
    </row>
    <row r="12" spans="1:14" x14ac:dyDescent="0.25">
      <c r="A12" s="23" t="s">
        <v>135</v>
      </c>
      <c r="B12" s="26">
        <f>N7</f>
        <v>2534700</v>
      </c>
      <c r="C12" s="25"/>
      <c r="D12" s="12"/>
      <c r="F12" s="23" t="s">
        <v>136</v>
      </c>
      <c r="G12" s="32">
        <f>D16</f>
        <v>3379600</v>
      </c>
      <c r="H12" s="28"/>
      <c r="I12" s="27"/>
    </row>
    <row r="13" spans="1:14" ht="30" x14ac:dyDescent="0.25">
      <c r="A13" s="13" t="s">
        <v>131</v>
      </c>
      <c r="B13" s="22">
        <f>'Fixed Assets'!E5*0.1</f>
        <v>152000</v>
      </c>
      <c r="C13" s="14"/>
      <c r="D13" s="3"/>
      <c r="F13" s="13" t="s">
        <v>131</v>
      </c>
      <c r="G13" s="22">
        <f>'Fixed Assets'!E5*0.1</f>
        <v>152000</v>
      </c>
      <c r="H13" s="14"/>
      <c r="I13" s="3"/>
    </row>
    <row r="14" spans="1:14" x14ac:dyDescent="0.25">
      <c r="A14" s="2" t="s">
        <v>33</v>
      </c>
      <c r="B14" s="16">
        <f>'Fixed Assets'!E23*0.1</f>
        <v>381300</v>
      </c>
      <c r="C14" s="15"/>
      <c r="D14" s="2"/>
      <c r="F14" s="2" t="s">
        <v>33</v>
      </c>
      <c r="G14" s="16">
        <f>'Fixed Assets'!E23*0.1</f>
        <v>381300</v>
      </c>
      <c r="H14" s="15"/>
      <c r="I14" s="2"/>
    </row>
    <row r="15" spans="1:14" x14ac:dyDescent="0.25">
      <c r="A15" s="2" t="s">
        <v>132</v>
      </c>
      <c r="B15" s="16">
        <f>'Fixed Assets'!E30*0.1</f>
        <v>311600</v>
      </c>
      <c r="C15" s="15"/>
      <c r="D15" s="2"/>
      <c r="F15" s="2" t="s">
        <v>132</v>
      </c>
      <c r="G15" s="16">
        <f>'Fixed Assets'!E30*0.1</f>
        <v>311600</v>
      </c>
      <c r="H15" s="15"/>
      <c r="I15" s="2"/>
    </row>
    <row r="16" spans="1:14" ht="15.75" thickBot="1" x14ac:dyDescent="0.3">
      <c r="A16" s="2"/>
      <c r="B16" s="16"/>
      <c r="C16" s="15" t="s">
        <v>133</v>
      </c>
      <c r="D16" s="11">
        <f>SUM(B12:B16)</f>
        <v>3379600</v>
      </c>
      <c r="F16" s="2"/>
      <c r="G16" s="16"/>
      <c r="H16" s="15" t="s">
        <v>133</v>
      </c>
      <c r="I16" s="11">
        <f>SUM(G12:G16)</f>
        <v>4224500</v>
      </c>
    </row>
    <row r="17" spans="1:9" ht="15.75" thickBot="1" x14ac:dyDescent="0.3">
      <c r="A17" s="5" t="s">
        <v>45</v>
      </c>
      <c r="B17" s="19">
        <f>SUM(B12:B16)</f>
        <v>3379600</v>
      </c>
      <c r="C17" s="17" t="s">
        <v>45</v>
      </c>
      <c r="D17" s="10">
        <f>SUM(D16)</f>
        <v>3379600</v>
      </c>
      <c r="F17" s="5" t="s">
        <v>45</v>
      </c>
      <c r="G17" s="19">
        <f>SUM(G12:G16)</f>
        <v>4224500</v>
      </c>
      <c r="H17" s="17" t="s">
        <v>45</v>
      </c>
      <c r="I17" s="10">
        <f>SUM(I16)</f>
        <v>4224500</v>
      </c>
    </row>
    <row r="19" spans="1:9" x14ac:dyDescent="0.25">
      <c r="A19" t="s">
        <v>208</v>
      </c>
      <c r="B19" s="164">
        <v>0.1</v>
      </c>
    </row>
  </sheetData>
  <mergeCells count="5">
    <mergeCell ref="F1:I1"/>
    <mergeCell ref="K1:N1"/>
    <mergeCell ref="F10:I10"/>
    <mergeCell ref="A1:D1"/>
    <mergeCell ref="A10:D10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workbookViewId="0">
      <selection sqref="A1:C16"/>
    </sheetView>
  </sheetViews>
  <sheetFormatPr defaultRowHeight="15" x14ac:dyDescent="0.25"/>
  <cols>
    <col min="1" max="1" width="16" bestFit="1" customWidth="1"/>
    <col min="2" max="2" width="19.85546875" customWidth="1"/>
    <col min="3" max="4" width="14.42578125" customWidth="1"/>
    <col min="6" max="6" width="16" bestFit="1" customWidth="1"/>
    <col min="7" max="7" width="19.140625" customWidth="1"/>
    <col min="8" max="8" width="15.42578125" customWidth="1"/>
    <col min="9" max="9" width="14.5703125" customWidth="1"/>
    <col min="11" max="11" width="16" bestFit="1" customWidth="1"/>
    <col min="12" max="12" width="19.28515625" customWidth="1"/>
    <col min="13" max="13" width="15.140625" customWidth="1"/>
    <col min="14" max="14" width="14" customWidth="1"/>
  </cols>
  <sheetData>
    <row r="1" spans="1:14" ht="15.75" thickBot="1" x14ac:dyDescent="0.3">
      <c r="A1" s="255" t="s">
        <v>75</v>
      </c>
      <c r="B1" s="256"/>
      <c r="C1" s="257"/>
      <c r="D1" s="57"/>
      <c r="E1" s="6"/>
      <c r="F1" s="258" t="s">
        <v>76</v>
      </c>
      <c r="G1" s="259"/>
      <c r="H1" s="259"/>
      <c r="I1" s="260"/>
      <c r="J1" s="6"/>
      <c r="K1" s="258" t="s">
        <v>77</v>
      </c>
      <c r="L1" s="259"/>
      <c r="M1" s="259"/>
      <c r="N1" s="260"/>
    </row>
    <row r="2" spans="1:14" ht="30.75" thickBot="1" x14ac:dyDescent="0.3">
      <c r="A2" s="5" t="s">
        <v>73</v>
      </c>
      <c r="B2" s="5" t="s">
        <v>72</v>
      </c>
      <c r="C2" s="5" t="s">
        <v>74</v>
      </c>
      <c r="D2" s="58"/>
      <c r="E2" s="6"/>
      <c r="F2" s="5" t="s">
        <v>73</v>
      </c>
      <c r="G2" s="61" t="s">
        <v>164</v>
      </c>
      <c r="H2" s="62" t="s">
        <v>74</v>
      </c>
      <c r="I2" s="61" t="s">
        <v>166</v>
      </c>
      <c r="J2" s="6"/>
      <c r="K2" s="5" t="s">
        <v>73</v>
      </c>
      <c r="L2" s="61" t="s">
        <v>165</v>
      </c>
      <c r="M2" s="5" t="s">
        <v>74</v>
      </c>
      <c r="N2" s="61" t="s">
        <v>167</v>
      </c>
    </row>
    <row r="3" spans="1:14" x14ac:dyDescent="0.25">
      <c r="A3" s="3" t="s">
        <v>9</v>
      </c>
      <c r="B3" s="3">
        <v>6</v>
      </c>
      <c r="C3" s="7">
        <f>B3*'Fee Structure'!D2</f>
        <v>1094997</v>
      </c>
      <c r="D3" s="59"/>
      <c r="F3" s="3" t="s">
        <v>9</v>
      </c>
      <c r="G3" s="3">
        <v>8</v>
      </c>
      <c r="H3" s="63">
        <f>G3*'Fee Structure'!D2</f>
        <v>1459996</v>
      </c>
      <c r="I3" s="7">
        <f>C3</f>
        <v>1094997</v>
      </c>
      <c r="K3" s="3" t="s">
        <v>9</v>
      </c>
      <c r="L3" s="3">
        <v>9</v>
      </c>
      <c r="M3" s="7">
        <f>L3*'Fee Structure'!D2</f>
        <v>1642495.5</v>
      </c>
      <c r="N3" s="74">
        <f>H3</f>
        <v>1459996</v>
      </c>
    </row>
    <row r="4" spans="1:14" x14ac:dyDescent="0.25">
      <c r="A4" s="2" t="s">
        <v>11</v>
      </c>
      <c r="B4" s="2">
        <v>3</v>
      </c>
      <c r="C4" s="7">
        <f>B4*'Fee Structure'!D3</f>
        <v>547498.5</v>
      </c>
      <c r="D4" s="59"/>
      <c r="F4" s="2" t="s">
        <v>11</v>
      </c>
      <c r="G4" s="2">
        <v>6</v>
      </c>
      <c r="H4" s="63">
        <f>G4*'Fee Structure'!D3</f>
        <v>1094997</v>
      </c>
      <c r="I4" s="11">
        <f t="shared" ref="I4:I13" si="0">C4</f>
        <v>547498.5</v>
      </c>
      <c r="K4" s="2" t="s">
        <v>11</v>
      </c>
      <c r="L4" s="2">
        <v>9</v>
      </c>
      <c r="M4" s="7">
        <f>L4*'Fee Structure'!D3</f>
        <v>1642495.5</v>
      </c>
      <c r="N4" s="73">
        <f t="shared" ref="N4:N13" si="1">H4</f>
        <v>1094997</v>
      </c>
    </row>
    <row r="5" spans="1:14" x14ac:dyDescent="0.25">
      <c r="A5" s="2" t="s">
        <v>12</v>
      </c>
      <c r="B5" s="2">
        <v>10</v>
      </c>
      <c r="C5" s="7">
        <f>B5*'Fee Structure'!D4</f>
        <v>1824995</v>
      </c>
      <c r="D5" s="59"/>
      <c r="F5" s="2" t="s">
        <v>12</v>
      </c>
      <c r="G5" s="2">
        <v>12</v>
      </c>
      <c r="H5" s="63">
        <f>G5*'Fee Structure'!D4</f>
        <v>2189994</v>
      </c>
      <c r="I5" s="11">
        <f t="shared" si="0"/>
        <v>1824995</v>
      </c>
      <c r="K5" s="2" t="s">
        <v>12</v>
      </c>
      <c r="L5" s="2">
        <v>13</v>
      </c>
      <c r="M5" s="7">
        <f>L5*'Fee Structure'!D4</f>
        <v>2372493.5</v>
      </c>
      <c r="N5" s="73">
        <f t="shared" si="1"/>
        <v>2189994</v>
      </c>
    </row>
    <row r="6" spans="1:14" x14ac:dyDescent="0.25">
      <c r="A6" s="2" t="s">
        <v>13</v>
      </c>
      <c r="B6" s="2">
        <v>5</v>
      </c>
      <c r="C6" s="7">
        <f>B6*'Fee Structure'!D5</f>
        <v>912497.5</v>
      </c>
      <c r="D6" s="59"/>
      <c r="F6" s="2" t="s">
        <v>13</v>
      </c>
      <c r="G6" s="2">
        <v>8</v>
      </c>
      <c r="H6" s="63">
        <f>G6*'Fee Structure'!D5</f>
        <v>1459996</v>
      </c>
      <c r="I6" s="11">
        <f t="shared" si="0"/>
        <v>912497.5</v>
      </c>
      <c r="K6" s="2" t="s">
        <v>13</v>
      </c>
      <c r="L6" s="2">
        <v>10</v>
      </c>
      <c r="M6" s="7">
        <f>L6*'Fee Structure'!D5</f>
        <v>1824995</v>
      </c>
      <c r="N6" s="73">
        <f t="shared" si="1"/>
        <v>1459996</v>
      </c>
    </row>
    <row r="7" spans="1:14" x14ac:dyDescent="0.25">
      <c r="A7" s="2" t="s">
        <v>14</v>
      </c>
      <c r="B7" s="2">
        <v>4</v>
      </c>
      <c r="C7" s="7">
        <f>B7*'Fee Structure'!D6</f>
        <v>729998</v>
      </c>
      <c r="D7" s="59"/>
      <c r="F7" s="2" t="s">
        <v>14</v>
      </c>
      <c r="G7" s="2">
        <v>8</v>
      </c>
      <c r="H7" s="63">
        <f>G7*'Fee Structure'!D6</f>
        <v>1459996</v>
      </c>
      <c r="I7" s="11">
        <f t="shared" si="0"/>
        <v>729998</v>
      </c>
      <c r="K7" s="2" t="s">
        <v>14</v>
      </c>
      <c r="L7" s="2">
        <v>11</v>
      </c>
      <c r="M7" s="7">
        <f>L7*'Fee Structure'!D6</f>
        <v>2007494.5</v>
      </c>
      <c r="N7" s="73">
        <f t="shared" si="1"/>
        <v>1459996</v>
      </c>
    </row>
    <row r="8" spans="1:14" x14ac:dyDescent="0.25">
      <c r="A8" s="2" t="s">
        <v>15</v>
      </c>
      <c r="B8" s="2">
        <v>5</v>
      </c>
      <c r="C8" s="7">
        <f>B8*'Fee Structure'!D7</f>
        <v>912497.5</v>
      </c>
      <c r="D8" s="59"/>
      <c r="F8" s="2" t="s">
        <v>15</v>
      </c>
      <c r="G8" s="2">
        <v>7</v>
      </c>
      <c r="H8" s="63">
        <f>G8*'Fee Structure'!D7</f>
        <v>1277496.5</v>
      </c>
      <c r="I8" s="11">
        <f t="shared" si="0"/>
        <v>912497.5</v>
      </c>
      <c r="K8" s="2" t="s">
        <v>15</v>
      </c>
      <c r="L8" s="2">
        <v>9</v>
      </c>
      <c r="M8" s="7">
        <f>L8*'Fee Structure'!D7</f>
        <v>1642495.5</v>
      </c>
      <c r="N8" s="73">
        <f t="shared" si="1"/>
        <v>1277496.5</v>
      </c>
    </row>
    <row r="9" spans="1:14" x14ac:dyDescent="0.25">
      <c r="A9" s="2" t="s">
        <v>16</v>
      </c>
      <c r="B9" s="2">
        <v>2</v>
      </c>
      <c r="C9" s="7">
        <f>B9*'Fee Structure'!D8</f>
        <v>289999</v>
      </c>
      <c r="D9" s="59"/>
      <c r="F9" s="2" t="s">
        <v>16</v>
      </c>
      <c r="G9" s="2">
        <v>3</v>
      </c>
      <c r="H9" s="63">
        <f>G9*'Fee Structure'!D8</f>
        <v>434998.5</v>
      </c>
      <c r="I9" s="11">
        <f t="shared" si="0"/>
        <v>289999</v>
      </c>
      <c r="K9" s="2" t="s">
        <v>16</v>
      </c>
      <c r="L9" s="2">
        <v>5</v>
      </c>
      <c r="M9" s="7">
        <f>L9*'Fee Structure'!D8</f>
        <v>724997.5</v>
      </c>
      <c r="N9" s="73">
        <f t="shared" si="1"/>
        <v>434998.5</v>
      </c>
    </row>
    <row r="10" spans="1:14" x14ac:dyDescent="0.25">
      <c r="A10" s="2" t="s">
        <v>17</v>
      </c>
      <c r="B10" s="2">
        <v>2</v>
      </c>
      <c r="C10" s="7">
        <f>B10*'Fee Structure'!D9</f>
        <v>364999</v>
      </c>
      <c r="D10" s="59"/>
      <c r="F10" s="2" t="s">
        <v>17</v>
      </c>
      <c r="G10" s="2">
        <v>4</v>
      </c>
      <c r="H10" s="63">
        <f>G10*'Fee Structure'!D9</f>
        <v>729998</v>
      </c>
      <c r="I10" s="11">
        <f t="shared" si="0"/>
        <v>364999</v>
      </c>
      <c r="K10" s="2" t="s">
        <v>17</v>
      </c>
      <c r="L10" s="2">
        <v>6</v>
      </c>
      <c r="M10" s="7">
        <f>L10*'Fee Structure'!D9</f>
        <v>1094997</v>
      </c>
      <c r="N10" s="73">
        <f t="shared" si="1"/>
        <v>729998</v>
      </c>
    </row>
    <row r="11" spans="1:14" x14ac:dyDescent="0.25">
      <c r="A11" s="2" t="s">
        <v>82</v>
      </c>
      <c r="B11" s="2">
        <v>2</v>
      </c>
      <c r="C11" s="7">
        <f>B11*'Fee Structure'!D11</f>
        <v>489999</v>
      </c>
      <c r="D11" s="59"/>
      <c r="F11" s="2" t="s">
        <v>82</v>
      </c>
      <c r="G11" s="2">
        <v>3</v>
      </c>
      <c r="H11" s="63">
        <f>G11*'Fee Structure'!D11</f>
        <v>734998.5</v>
      </c>
      <c r="I11" s="11">
        <f t="shared" si="0"/>
        <v>489999</v>
      </c>
      <c r="K11" s="2" t="s">
        <v>82</v>
      </c>
      <c r="L11" s="2">
        <v>3</v>
      </c>
      <c r="M11" s="7">
        <f>L11*'Fee Structure'!D11</f>
        <v>734998.5</v>
      </c>
      <c r="N11" s="73">
        <f t="shared" si="1"/>
        <v>734998.5</v>
      </c>
    </row>
    <row r="12" spans="1:14" x14ac:dyDescent="0.25">
      <c r="A12" s="2" t="s">
        <v>21</v>
      </c>
      <c r="B12" s="2">
        <v>6</v>
      </c>
      <c r="C12" s="7">
        <f>B12*'Fee Structure'!D13</f>
        <v>1094997</v>
      </c>
      <c r="D12" s="59"/>
      <c r="F12" s="2" t="s">
        <v>21</v>
      </c>
      <c r="G12" s="2">
        <v>9</v>
      </c>
      <c r="H12" s="63">
        <f>G12*'Fee Structure'!D13</f>
        <v>1642495.5</v>
      </c>
      <c r="I12" s="11">
        <f t="shared" si="0"/>
        <v>1094997</v>
      </c>
      <c r="K12" s="2" t="s">
        <v>21</v>
      </c>
      <c r="L12" s="2">
        <v>13</v>
      </c>
      <c r="M12" s="7">
        <f>L12*'Fee Structure'!D13</f>
        <v>2372493.5</v>
      </c>
      <c r="N12" s="73">
        <f t="shared" si="1"/>
        <v>1642495.5</v>
      </c>
    </row>
    <row r="13" spans="1:14" ht="15.75" thickBot="1" x14ac:dyDescent="0.3">
      <c r="A13" s="4" t="s">
        <v>22</v>
      </c>
      <c r="B13" s="4">
        <v>0</v>
      </c>
      <c r="C13" s="7">
        <f>B13*'Fee Structure'!D14</f>
        <v>0</v>
      </c>
      <c r="D13" s="59"/>
      <c r="F13" s="4" t="s">
        <v>22</v>
      </c>
      <c r="G13" s="2">
        <v>1</v>
      </c>
      <c r="H13" s="63">
        <f>G13*'Fee Structure'!D14</f>
        <v>144999.5</v>
      </c>
      <c r="I13" s="64">
        <f t="shared" si="0"/>
        <v>0</v>
      </c>
      <c r="K13" s="4" t="s">
        <v>22</v>
      </c>
      <c r="L13" s="2">
        <v>2</v>
      </c>
      <c r="M13" s="7">
        <f>L13*'Fee Structure'!D14</f>
        <v>289999</v>
      </c>
      <c r="N13" s="75">
        <f t="shared" si="1"/>
        <v>144999.5</v>
      </c>
    </row>
    <row r="14" spans="1:14" x14ac:dyDescent="0.25">
      <c r="A14" s="65" t="s">
        <v>45</v>
      </c>
      <c r="B14" s="20">
        <f>SUM(B3:B13)</f>
        <v>45</v>
      </c>
      <c r="C14" s="66">
        <f>SUM(C3:C13)</f>
        <v>8262477.5</v>
      </c>
      <c r="D14" s="60"/>
      <c r="E14" s="6"/>
      <c r="F14" s="65" t="s">
        <v>45</v>
      </c>
      <c r="G14" s="20">
        <f>SUM(G3:G13)</f>
        <v>69</v>
      </c>
      <c r="H14" s="67">
        <f>SUM(H3:H13)</f>
        <v>12629965.5</v>
      </c>
      <c r="I14" s="66">
        <f>SUM(I3:I13)</f>
        <v>8262477.5</v>
      </c>
      <c r="J14" s="6"/>
      <c r="K14" s="65" t="s">
        <v>45</v>
      </c>
      <c r="L14" s="20">
        <f>SUM(L3:L13)</f>
        <v>90</v>
      </c>
      <c r="M14" s="68">
        <f>SUM(M3:M13)</f>
        <v>16349955</v>
      </c>
      <c r="N14" s="76">
        <f>SUM(N3:N13)</f>
        <v>12629965.5</v>
      </c>
    </row>
    <row r="15" spans="1:14" ht="15.75" thickBot="1" x14ac:dyDescent="0.3">
      <c r="A15" s="69" t="s">
        <v>172</v>
      </c>
      <c r="B15" s="70">
        <v>35000</v>
      </c>
      <c r="C15" s="71">
        <f>B15*B14</f>
        <v>1575000</v>
      </c>
      <c r="D15" s="60"/>
      <c r="E15" s="6"/>
      <c r="F15" s="69" t="s">
        <v>172</v>
      </c>
      <c r="G15" s="70">
        <v>35000</v>
      </c>
      <c r="H15" s="72">
        <f>G15*G14</f>
        <v>2415000</v>
      </c>
      <c r="I15" s="72">
        <v>0</v>
      </c>
      <c r="J15" s="6"/>
      <c r="K15" s="69" t="s">
        <v>172</v>
      </c>
      <c r="L15" s="70">
        <v>35000</v>
      </c>
      <c r="M15" s="70">
        <f>L15*L14</f>
        <v>3150000</v>
      </c>
      <c r="N15" s="70">
        <v>0</v>
      </c>
    </row>
    <row r="16" spans="1:14" ht="15.75" thickBot="1" x14ac:dyDescent="0.3">
      <c r="A16" s="261" t="s">
        <v>173</v>
      </c>
      <c r="B16" s="262"/>
      <c r="C16" s="8">
        <f>SUM(C14:C15)</f>
        <v>9837477.5</v>
      </c>
      <c r="D16" s="60"/>
      <c r="E16" s="6"/>
      <c r="F16" s="261" t="s">
        <v>174</v>
      </c>
      <c r="G16" s="262"/>
      <c r="H16" s="263">
        <f>SUM(H14:I15)</f>
        <v>23307443</v>
      </c>
      <c r="I16" s="264"/>
      <c r="J16" s="6"/>
      <c r="K16" s="261" t="s">
        <v>175</v>
      </c>
      <c r="L16" s="262"/>
      <c r="M16" s="263">
        <f>SUM(M14:N15)</f>
        <v>32129920.5</v>
      </c>
      <c r="N16" s="264"/>
    </row>
    <row r="17" spans="1:9" ht="15.75" thickBot="1" x14ac:dyDescent="0.3"/>
    <row r="18" spans="1:9" ht="15.75" thickBot="1" x14ac:dyDescent="0.3">
      <c r="A18" s="258" t="s">
        <v>78</v>
      </c>
      <c r="B18" s="259"/>
      <c r="C18" s="259"/>
      <c r="D18" s="260"/>
      <c r="E18" s="6"/>
      <c r="F18" s="258" t="s">
        <v>79</v>
      </c>
      <c r="G18" s="259"/>
      <c r="H18" s="259"/>
      <c r="I18" s="260"/>
    </row>
    <row r="19" spans="1:9" ht="30.75" thickBot="1" x14ac:dyDescent="0.3">
      <c r="A19" s="5" t="s">
        <v>73</v>
      </c>
      <c r="B19" s="61" t="s">
        <v>168</v>
      </c>
      <c r="C19" s="5" t="s">
        <v>74</v>
      </c>
      <c r="D19" s="61" t="s">
        <v>170</v>
      </c>
      <c r="E19" s="6"/>
      <c r="F19" s="5" t="s">
        <v>73</v>
      </c>
      <c r="G19" s="61" t="s">
        <v>169</v>
      </c>
      <c r="H19" s="5" t="s">
        <v>74</v>
      </c>
      <c r="I19" s="61" t="s">
        <v>171</v>
      </c>
    </row>
    <row r="20" spans="1:9" x14ac:dyDescent="0.25">
      <c r="A20" s="3" t="s">
        <v>9</v>
      </c>
      <c r="B20" s="3">
        <v>9</v>
      </c>
      <c r="C20" s="7">
        <f>B20*'Fee Structure'!D2</f>
        <v>1642495.5</v>
      </c>
      <c r="D20" s="74">
        <f t="shared" ref="D20:D30" si="2">M3</f>
        <v>1642495.5</v>
      </c>
      <c r="F20" s="3" t="s">
        <v>9</v>
      </c>
      <c r="G20" s="3">
        <v>10</v>
      </c>
      <c r="H20" s="7">
        <f>G20*'Fee Structure'!D2</f>
        <v>1824995</v>
      </c>
      <c r="I20" s="74">
        <f>C20</f>
        <v>1642495.5</v>
      </c>
    </row>
    <row r="21" spans="1:9" x14ac:dyDescent="0.25">
      <c r="A21" s="2" t="s">
        <v>11</v>
      </c>
      <c r="B21" s="2">
        <v>9</v>
      </c>
      <c r="C21" s="7">
        <f>B21*'Fee Structure'!D3</f>
        <v>1642495.5</v>
      </c>
      <c r="D21" s="73">
        <f t="shared" si="2"/>
        <v>1642495.5</v>
      </c>
      <c r="F21" s="2" t="s">
        <v>11</v>
      </c>
      <c r="G21" s="2">
        <v>12</v>
      </c>
      <c r="H21" s="7">
        <f>G21*'Fee Structure'!D3</f>
        <v>2189994</v>
      </c>
      <c r="I21" s="73">
        <f t="shared" ref="I21:I30" si="3">C21</f>
        <v>1642495.5</v>
      </c>
    </row>
    <row r="22" spans="1:9" x14ac:dyDescent="0.25">
      <c r="A22" s="2" t="s">
        <v>12</v>
      </c>
      <c r="B22" s="2">
        <v>16</v>
      </c>
      <c r="C22" s="7">
        <f>B22*'Fee Structure'!D4</f>
        <v>2919992</v>
      </c>
      <c r="D22" s="73">
        <f t="shared" si="2"/>
        <v>2372493.5</v>
      </c>
      <c r="F22" s="2" t="s">
        <v>12</v>
      </c>
      <c r="G22" s="2">
        <v>16</v>
      </c>
      <c r="H22" s="7">
        <f>G22*'Fee Structure'!D4</f>
        <v>2919992</v>
      </c>
      <c r="I22" s="73">
        <f t="shared" si="3"/>
        <v>2919992</v>
      </c>
    </row>
    <row r="23" spans="1:9" x14ac:dyDescent="0.25">
      <c r="A23" s="2" t="s">
        <v>13</v>
      </c>
      <c r="B23" s="2">
        <v>11</v>
      </c>
      <c r="C23" s="7">
        <f>B23*'Fee Structure'!D5</f>
        <v>2007494.5</v>
      </c>
      <c r="D23" s="73">
        <f t="shared" si="2"/>
        <v>1824995</v>
      </c>
      <c r="F23" s="2" t="s">
        <v>13</v>
      </c>
      <c r="G23" s="2">
        <v>12</v>
      </c>
      <c r="H23" s="7">
        <f>G23*'Fee Structure'!D5</f>
        <v>2189994</v>
      </c>
      <c r="I23" s="73">
        <f t="shared" si="3"/>
        <v>2007494.5</v>
      </c>
    </row>
    <row r="24" spans="1:9" x14ac:dyDescent="0.25">
      <c r="A24" s="2" t="s">
        <v>14</v>
      </c>
      <c r="B24" s="2">
        <v>14</v>
      </c>
      <c r="C24" s="7">
        <f>B24*'Fee Structure'!D6</f>
        <v>2554993</v>
      </c>
      <c r="D24" s="73">
        <f t="shared" si="2"/>
        <v>2007494.5</v>
      </c>
      <c r="F24" s="2" t="s">
        <v>14</v>
      </c>
      <c r="G24" s="2">
        <v>16</v>
      </c>
      <c r="H24" s="7">
        <f>G24*'Fee Structure'!D6</f>
        <v>2919992</v>
      </c>
      <c r="I24" s="73">
        <f t="shared" si="3"/>
        <v>2554993</v>
      </c>
    </row>
    <row r="25" spans="1:9" x14ac:dyDescent="0.25">
      <c r="A25" s="2" t="s">
        <v>15</v>
      </c>
      <c r="B25" s="2">
        <v>14</v>
      </c>
      <c r="C25" s="7">
        <f>B25*'Fee Structure'!D7</f>
        <v>2554993</v>
      </c>
      <c r="D25" s="73">
        <f t="shared" si="2"/>
        <v>1642495.5</v>
      </c>
      <c r="F25" s="2" t="s">
        <v>15</v>
      </c>
      <c r="G25" s="2">
        <v>16</v>
      </c>
      <c r="H25" s="7">
        <f>G25*'Fee Structure'!D7</f>
        <v>2919992</v>
      </c>
      <c r="I25" s="73">
        <f t="shared" si="3"/>
        <v>2554993</v>
      </c>
    </row>
    <row r="26" spans="1:9" x14ac:dyDescent="0.25">
      <c r="A26" s="2" t="s">
        <v>16</v>
      </c>
      <c r="B26" s="2">
        <v>4</v>
      </c>
      <c r="C26" s="7">
        <f>B26*'Fee Structure'!D8</f>
        <v>579998</v>
      </c>
      <c r="D26" s="73">
        <f t="shared" si="2"/>
        <v>724997.5</v>
      </c>
      <c r="F26" s="2" t="s">
        <v>16</v>
      </c>
      <c r="G26" s="2">
        <v>5</v>
      </c>
      <c r="H26" s="7">
        <f>G26*'Fee Structure'!D8</f>
        <v>724997.5</v>
      </c>
      <c r="I26" s="73">
        <f t="shared" si="3"/>
        <v>579998</v>
      </c>
    </row>
    <row r="27" spans="1:9" x14ac:dyDescent="0.25">
      <c r="A27" s="2" t="s">
        <v>17</v>
      </c>
      <c r="B27" s="2">
        <v>7</v>
      </c>
      <c r="C27" s="7">
        <f>B27*'Fee Structure'!D9</f>
        <v>1277496.5</v>
      </c>
      <c r="D27" s="73">
        <f t="shared" si="2"/>
        <v>1094997</v>
      </c>
      <c r="F27" s="2" t="s">
        <v>17</v>
      </c>
      <c r="G27" s="2">
        <v>5</v>
      </c>
      <c r="H27" s="7">
        <f>G27*'Fee Structure'!D9</f>
        <v>912497.5</v>
      </c>
      <c r="I27" s="73">
        <f t="shared" si="3"/>
        <v>1277496.5</v>
      </c>
    </row>
    <row r="28" spans="1:9" x14ac:dyDescent="0.25">
      <c r="A28" s="2" t="s">
        <v>82</v>
      </c>
      <c r="B28" s="2">
        <v>4</v>
      </c>
      <c r="C28" s="7">
        <f>B28*'Fee Structure'!D11</f>
        <v>979998</v>
      </c>
      <c r="D28" s="73">
        <f t="shared" si="2"/>
        <v>734998.5</v>
      </c>
      <c r="F28" s="2" t="s">
        <v>82</v>
      </c>
      <c r="G28" s="2">
        <v>8</v>
      </c>
      <c r="H28" s="7">
        <f>G28*'Fee Structure'!D11</f>
        <v>1959996</v>
      </c>
      <c r="I28" s="73">
        <f t="shared" si="3"/>
        <v>979998</v>
      </c>
    </row>
    <row r="29" spans="1:9" x14ac:dyDescent="0.25">
      <c r="A29" s="2" t="s">
        <v>21</v>
      </c>
      <c r="B29" s="2">
        <v>15</v>
      </c>
      <c r="C29" s="7">
        <f>B29*'Fee Structure'!D13</f>
        <v>2737492.5</v>
      </c>
      <c r="D29" s="73">
        <f t="shared" si="2"/>
        <v>2372493.5</v>
      </c>
      <c r="F29" s="2" t="s">
        <v>21</v>
      </c>
      <c r="G29" s="2">
        <v>19</v>
      </c>
      <c r="H29" s="7">
        <f>G29*'Fee Structure'!D13</f>
        <v>3467490.5</v>
      </c>
      <c r="I29" s="73">
        <f t="shared" si="3"/>
        <v>2737492.5</v>
      </c>
    </row>
    <row r="30" spans="1:9" ht="15.75" thickBot="1" x14ac:dyDescent="0.3">
      <c r="A30" s="4" t="s">
        <v>22</v>
      </c>
      <c r="B30" s="2">
        <v>2</v>
      </c>
      <c r="C30" s="7">
        <f>B30*'Fee Structure'!D14</f>
        <v>289999</v>
      </c>
      <c r="D30" s="75">
        <f t="shared" si="2"/>
        <v>289999</v>
      </c>
      <c r="F30" s="4" t="s">
        <v>22</v>
      </c>
      <c r="G30" s="2">
        <v>2</v>
      </c>
      <c r="H30" s="7">
        <f>G30*'Fee Structure'!D14</f>
        <v>289999</v>
      </c>
      <c r="I30" s="75">
        <f t="shared" si="3"/>
        <v>289999</v>
      </c>
    </row>
    <row r="31" spans="1:9" x14ac:dyDescent="0.25">
      <c r="A31" s="65" t="s">
        <v>45</v>
      </c>
      <c r="B31" s="20">
        <f>SUM(B20:B30)</f>
        <v>105</v>
      </c>
      <c r="C31" s="68">
        <f>SUM(C20:C30)</f>
        <v>19187447.5</v>
      </c>
      <c r="D31" s="76">
        <f>SUM(D20:D30)</f>
        <v>16349955</v>
      </c>
      <c r="E31" s="6"/>
      <c r="F31" s="65" t="s">
        <v>45</v>
      </c>
      <c r="G31" s="20">
        <f>SUM(G20:G30)</f>
        <v>121</v>
      </c>
      <c r="H31" s="68">
        <f>SUM(H20:H30)</f>
        <v>22319939.5</v>
      </c>
      <c r="I31" s="76">
        <f>SUM(I20:I30)</f>
        <v>19187447.5</v>
      </c>
    </row>
    <row r="32" spans="1:9" ht="15.75" thickBot="1" x14ac:dyDescent="0.3">
      <c r="A32" s="69" t="s">
        <v>172</v>
      </c>
      <c r="B32" s="70">
        <v>35000</v>
      </c>
      <c r="C32" s="72">
        <f>B32*B31</f>
        <v>3675000</v>
      </c>
      <c r="D32" s="70">
        <v>0</v>
      </c>
      <c r="E32" s="6"/>
      <c r="F32" s="69" t="s">
        <v>172</v>
      </c>
      <c r="G32" s="70">
        <v>35000</v>
      </c>
      <c r="H32" s="72">
        <f>G32*G31</f>
        <v>4235000</v>
      </c>
      <c r="I32" s="70">
        <v>0</v>
      </c>
    </row>
    <row r="33" spans="1:9" ht="15.75" thickBot="1" x14ac:dyDescent="0.3">
      <c r="A33" s="261" t="s">
        <v>177</v>
      </c>
      <c r="B33" s="262"/>
      <c r="C33" s="263">
        <f>SUM(C31:D32)</f>
        <v>39212402.5</v>
      </c>
      <c r="D33" s="264"/>
      <c r="F33" s="261" t="s">
        <v>176</v>
      </c>
      <c r="G33" s="262"/>
      <c r="H33" s="263">
        <f>SUM(H31:I32)</f>
        <v>45742387</v>
      </c>
      <c r="I33" s="264"/>
    </row>
  </sheetData>
  <mergeCells count="14">
    <mergeCell ref="A33:B33"/>
    <mergeCell ref="C33:D33"/>
    <mergeCell ref="F33:G33"/>
    <mergeCell ref="H33:I33"/>
    <mergeCell ref="K1:N1"/>
    <mergeCell ref="A16:B16"/>
    <mergeCell ref="A1:C1"/>
    <mergeCell ref="F16:G16"/>
    <mergeCell ref="F1:I1"/>
    <mergeCell ref="H16:I16"/>
    <mergeCell ref="K16:L16"/>
    <mergeCell ref="M16:N16"/>
    <mergeCell ref="F18:I18"/>
    <mergeCell ref="A18:D18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3"/>
  <sheetViews>
    <sheetView topLeftCell="A6" workbookViewId="0">
      <selection activeCell="A19" sqref="A19:B33"/>
    </sheetView>
  </sheetViews>
  <sheetFormatPr defaultColWidth="19.85546875" defaultRowHeight="12.75" x14ac:dyDescent="0.2"/>
  <cols>
    <col min="1" max="1" width="16.42578125" style="78" bestFit="1" customWidth="1"/>
    <col min="2" max="2" width="12.28515625" style="78" bestFit="1" customWidth="1"/>
    <col min="3" max="3" width="12.140625" style="78" customWidth="1"/>
    <col min="4" max="4" width="2.140625" style="78" customWidth="1"/>
    <col min="5" max="5" width="16.42578125" style="93" bestFit="1" customWidth="1"/>
    <col min="6" max="6" width="12.28515625" style="93" bestFit="1" customWidth="1"/>
    <col min="7" max="7" width="10.5703125" style="93" customWidth="1"/>
    <col min="8" max="8" width="7.42578125" style="78" customWidth="1"/>
    <col min="9" max="9" width="9" style="78" customWidth="1"/>
    <col min="10" max="10" width="1.7109375" style="78" customWidth="1"/>
    <col min="11" max="11" width="16.42578125" style="78" bestFit="1" customWidth="1"/>
    <col min="12" max="12" width="12.28515625" style="78" bestFit="1" customWidth="1"/>
    <col min="13" max="13" width="11.5703125" style="78" customWidth="1"/>
    <col min="14" max="14" width="8.28515625" style="78" customWidth="1"/>
    <col min="15" max="15" width="10.7109375" style="78" customWidth="1"/>
    <col min="16" max="16" width="1.42578125" style="78" customWidth="1"/>
    <col min="17" max="17" width="16.42578125" style="78" bestFit="1" customWidth="1"/>
    <col min="18" max="18" width="12.28515625" style="78" bestFit="1" customWidth="1"/>
    <col min="19" max="19" width="11.28515625" style="78" customWidth="1"/>
    <col min="20" max="20" width="8.5703125" style="78" customWidth="1"/>
    <col min="21" max="21" width="10.7109375" style="78" customWidth="1"/>
    <col min="22" max="22" width="1.85546875" style="78" customWidth="1"/>
    <col min="23" max="23" width="16.42578125" style="78" bestFit="1" customWidth="1"/>
    <col min="24" max="24" width="12.28515625" style="78" bestFit="1" customWidth="1"/>
    <col min="25" max="25" width="10.7109375" style="78" customWidth="1"/>
    <col min="26" max="26" width="8.5703125" style="78" customWidth="1"/>
    <col min="27" max="27" width="11.140625" style="78" customWidth="1"/>
    <col min="28" max="16384" width="19.85546875" style="78"/>
  </cols>
  <sheetData>
    <row r="1" spans="1:27" ht="15.75" customHeight="1" thickBot="1" x14ac:dyDescent="0.25">
      <c r="A1" s="272" t="s">
        <v>178</v>
      </c>
      <c r="B1" s="273"/>
      <c r="C1" s="277"/>
      <c r="D1" s="77"/>
      <c r="E1" s="272" t="s">
        <v>180</v>
      </c>
      <c r="F1" s="273"/>
      <c r="G1" s="273"/>
      <c r="H1" s="273"/>
      <c r="I1" s="273"/>
      <c r="J1" s="77"/>
      <c r="K1" s="272" t="s">
        <v>181</v>
      </c>
      <c r="L1" s="273"/>
      <c r="M1" s="273"/>
      <c r="N1" s="273"/>
      <c r="O1" s="273"/>
      <c r="Q1" s="272" t="s">
        <v>182</v>
      </c>
      <c r="R1" s="273"/>
      <c r="S1" s="273"/>
      <c r="T1" s="273"/>
      <c r="U1" s="273"/>
      <c r="W1" s="272" t="s">
        <v>183</v>
      </c>
      <c r="X1" s="273"/>
      <c r="Y1" s="273"/>
      <c r="Z1" s="273"/>
      <c r="AA1" s="273"/>
    </row>
    <row r="2" spans="1:27" ht="43.5" customHeight="1" thickBot="1" x14ac:dyDescent="0.25">
      <c r="A2" s="79" t="s">
        <v>36</v>
      </c>
      <c r="B2" s="79" t="s">
        <v>179</v>
      </c>
      <c r="C2" s="94" t="s">
        <v>37</v>
      </c>
      <c r="D2" s="77"/>
      <c r="E2" s="102" t="s">
        <v>36</v>
      </c>
      <c r="F2" s="102" t="s">
        <v>179</v>
      </c>
      <c r="G2" s="103" t="s">
        <v>200</v>
      </c>
      <c r="H2" s="94" t="s">
        <v>184</v>
      </c>
      <c r="I2" s="94" t="s">
        <v>37</v>
      </c>
      <c r="J2" s="77"/>
      <c r="K2" s="102" t="s">
        <v>36</v>
      </c>
      <c r="L2" s="102" t="s">
        <v>179</v>
      </c>
      <c r="M2" s="103" t="s">
        <v>200</v>
      </c>
      <c r="N2" s="94" t="s">
        <v>184</v>
      </c>
      <c r="O2" s="94" t="s">
        <v>37</v>
      </c>
      <c r="Q2" s="102" t="s">
        <v>36</v>
      </c>
      <c r="R2" s="102" t="s">
        <v>179</v>
      </c>
      <c r="S2" s="103" t="s">
        <v>200</v>
      </c>
      <c r="T2" s="94" t="s">
        <v>184</v>
      </c>
      <c r="U2" s="94" t="s">
        <v>37</v>
      </c>
      <c r="W2" s="102" t="s">
        <v>36</v>
      </c>
      <c r="X2" s="102" t="s">
        <v>179</v>
      </c>
      <c r="Y2" s="103" t="s">
        <v>200</v>
      </c>
      <c r="Z2" s="94" t="s">
        <v>184</v>
      </c>
      <c r="AA2" s="94" t="s">
        <v>37</v>
      </c>
    </row>
    <row r="3" spans="1:27" x14ac:dyDescent="0.2">
      <c r="A3" s="80" t="s">
        <v>38</v>
      </c>
      <c r="B3" s="81">
        <v>2</v>
      </c>
      <c r="C3" s="82">
        <f>B3*B21</f>
        <v>60000</v>
      </c>
      <c r="E3" s="80" t="s">
        <v>38</v>
      </c>
      <c r="F3" s="81">
        <f>B3</f>
        <v>2</v>
      </c>
      <c r="G3" s="97">
        <f>F3*B21*1.03</f>
        <v>61800</v>
      </c>
      <c r="H3" s="112">
        <v>0</v>
      </c>
      <c r="I3" s="112">
        <f>H3*B21</f>
        <v>0</v>
      </c>
      <c r="K3" s="80" t="s">
        <v>38</v>
      </c>
      <c r="L3" s="100">
        <f>SUM(F3,H3)</f>
        <v>2</v>
      </c>
      <c r="M3" s="104">
        <f>SUM(G3,I3)*1.03</f>
        <v>63654</v>
      </c>
      <c r="N3" s="107">
        <v>1</v>
      </c>
      <c r="O3" s="107">
        <f>N3*B21</f>
        <v>30000</v>
      </c>
      <c r="Q3" s="80" t="s">
        <v>38</v>
      </c>
      <c r="R3" s="100">
        <f>SUM(N3,L3)</f>
        <v>3</v>
      </c>
      <c r="S3" s="104">
        <f>SUM(M3,O3)*1.03</f>
        <v>96463.62</v>
      </c>
      <c r="T3" s="107">
        <v>0</v>
      </c>
      <c r="U3" s="107">
        <f>T3*B21</f>
        <v>0</v>
      </c>
      <c r="W3" s="80" t="s">
        <v>38</v>
      </c>
      <c r="X3" s="100">
        <f>SUM(T3,R3)</f>
        <v>3</v>
      </c>
      <c r="Y3" s="104">
        <f>SUM(S3,U3)*1.03</f>
        <v>99357.528599999991</v>
      </c>
      <c r="Z3" s="107">
        <v>0</v>
      </c>
      <c r="AA3" s="107">
        <f>Z3*B21</f>
        <v>0</v>
      </c>
    </row>
    <row r="4" spans="1:27" x14ac:dyDescent="0.2">
      <c r="A4" s="83" t="s">
        <v>46</v>
      </c>
      <c r="B4" s="84">
        <v>1</v>
      </c>
      <c r="C4" s="82">
        <f t="shared" ref="C4:C15" si="0">B4*B22</f>
        <v>30000</v>
      </c>
      <c r="E4" s="83" t="s">
        <v>46</v>
      </c>
      <c r="F4" s="81">
        <f t="shared" ref="F4:F15" si="1">B4</f>
        <v>1</v>
      </c>
      <c r="G4" s="97">
        <f t="shared" ref="G4:G15" si="2">F4*B22*1.03</f>
        <v>30900</v>
      </c>
      <c r="H4" s="99">
        <v>0</v>
      </c>
      <c r="I4" s="99">
        <f t="shared" ref="I4:I15" si="3">H4*B22</f>
        <v>0</v>
      </c>
      <c r="K4" s="83" t="s">
        <v>46</v>
      </c>
      <c r="L4" s="100">
        <f t="shared" ref="L4:L15" si="4">SUM(F4,H4)</f>
        <v>1</v>
      </c>
      <c r="M4" s="104">
        <f t="shared" ref="M4:M15" si="5">SUM(G4,I4)*1.03</f>
        <v>31827</v>
      </c>
      <c r="N4" s="106">
        <v>0</v>
      </c>
      <c r="O4" s="106">
        <f t="shared" ref="O4:O15" si="6">N4*B22</f>
        <v>0</v>
      </c>
      <c r="Q4" s="83" t="s">
        <v>46</v>
      </c>
      <c r="R4" s="100">
        <f t="shared" ref="R4:R15" si="7">SUM(N4,L4)</f>
        <v>1</v>
      </c>
      <c r="S4" s="104">
        <f t="shared" ref="S4:S15" si="8">SUM(M4,O4)*1.03</f>
        <v>32781.81</v>
      </c>
      <c r="T4" s="106">
        <v>0</v>
      </c>
      <c r="U4" s="106">
        <f t="shared" ref="U4:U15" si="9">T4*B22</f>
        <v>0</v>
      </c>
      <c r="W4" s="83" t="s">
        <v>46</v>
      </c>
      <c r="X4" s="100">
        <f t="shared" ref="X4:X15" si="10">SUM(T4,R4)</f>
        <v>1</v>
      </c>
      <c r="Y4" s="104">
        <f t="shared" ref="Y4:Y15" si="11">SUM(S4,U4)*1.03</f>
        <v>33765.264299999995</v>
      </c>
      <c r="Z4" s="106">
        <v>0</v>
      </c>
      <c r="AA4" s="106">
        <f t="shared" ref="AA4:AA15" si="12">Z4*B22</f>
        <v>0</v>
      </c>
    </row>
    <row r="5" spans="1:27" x14ac:dyDescent="0.2">
      <c r="A5" s="85" t="s">
        <v>186</v>
      </c>
      <c r="B5" s="84">
        <v>1</v>
      </c>
      <c r="C5" s="82">
        <f t="shared" si="0"/>
        <v>140000</v>
      </c>
      <c r="E5" s="85" t="s">
        <v>186</v>
      </c>
      <c r="F5" s="81">
        <f t="shared" si="1"/>
        <v>1</v>
      </c>
      <c r="G5" s="97">
        <f t="shared" si="2"/>
        <v>144200</v>
      </c>
      <c r="H5" s="99">
        <v>0</v>
      </c>
      <c r="I5" s="99">
        <f t="shared" si="3"/>
        <v>0</v>
      </c>
      <c r="K5" s="85" t="s">
        <v>186</v>
      </c>
      <c r="L5" s="100">
        <f t="shared" si="4"/>
        <v>1</v>
      </c>
      <c r="M5" s="104">
        <f t="shared" si="5"/>
        <v>148526</v>
      </c>
      <c r="N5" s="106">
        <v>0</v>
      </c>
      <c r="O5" s="106">
        <f t="shared" si="6"/>
        <v>0</v>
      </c>
      <c r="Q5" s="85" t="s">
        <v>186</v>
      </c>
      <c r="R5" s="100">
        <f t="shared" si="7"/>
        <v>1</v>
      </c>
      <c r="S5" s="104">
        <f t="shared" si="8"/>
        <v>152981.78</v>
      </c>
      <c r="T5" s="106">
        <v>0</v>
      </c>
      <c r="U5" s="106">
        <f t="shared" si="9"/>
        <v>0</v>
      </c>
      <c r="W5" s="85" t="s">
        <v>186</v>
      </c>
      <c r="X5" s="100">
        <f t="shared" si="10"/>
        <v>1</v>
      </c>
      <c r="Y5" s="104">
        <f t="shared" si="11"/>
        <v>157571.2334</v>
      </c>
      <c r="Z5" s="106">
        <v>0</v>
      </c>
      <c r="AA5" s="106">
        <f t="shared" si="12"/>
        <v>0</v>
      </c>
    </row>
    <row r="6" spans="1:27" x14ac:dyDescent="0.2">
      <c r="A6" s="85" t="s">
        <v>187</v>
      </c>
      <c r="B6" s="84">
        <v>1</v>
      </c>
      <c r="C6" s="82">
        <f t="shared" si="0"/>
        <v>75000</v>
      </c>
      <c r="E6" s="85" t="s">
        <v>187</v>
      </c>
      <c r="F6" s="81">
        <f t="shared" si="1"/>
        <v>1</v>
      </c>
      <c r="G6" s="97">
        <f t="shared" si="2"/>
        <v>77250</v>
      </c>
      <c r="H6" s="99">
        <v>0</v>
      </c>
      <c r="I6" s="99">
        <f t="shared" si="3"/>
        <v>0</v>
      </c>
      <c r="K6" s="85" t="s">
        <v>187</v>
      </c>
      <c r="L6" s="100">
        <f t="shared" si="4"/>
        <v>1</v>
      </c>
      <c r="M6" s="104">
        <f t="shared" si="5"/>
        <v>79567.5</v>
      </c>
      <c r="N6" s="106">
        <v>1</v>
      </c>
      <c r="O6" s="106">
        <f t="shared" si="6"/>
        <v>75000</v>
      </c>
      <c r="Q6" s="85" t="s">
        <v>187</v>
      </c>
      <c r="R6" s="100">
        <f t="shared" si="7"/>
        <v>2</v>
      </c>
      <c r="S6" s="104">
        <f t="shared" si="8"/>
        <v>159204.52499999999</v>
      </c>
      <c r="T6" s="106">
        <v>1</v>
      </c>
      <c r="U6" s="106">
        <f t="shared" si="9"/>
        <v>75000</v>
      </c>
      <c r="W6" s="85" t="s">
        <v>187</v>
      </c>
      <c r="X6" s="100">
        <f t="shared" si="10"/>
        <v>3</v>
      </c>
      <c r="Y6" s="104">
        <f t="shared" si="11"/>
        <v>241230.66075000001</v>
      </c>
      <c r="Z6" s="106">
        <v>0</v>
      </c>
      <c r="AA6" s="106">
        <f t="shared" si="12"/>
        <v>0</v>
      </c>
    </row>
    <row r="7" spans="1:27" x14ac:dyDescent="0.2">
      <c r="A7" s="85" t="s">
        <v>188</v>
      </c>
      <c r="B7" s="84">
        <v>2</v>
      </c>
      <c r="C7" s="82">
        <f t="shared" si="0"/>
        <v>110000</v>
      </c>
      <c r="E7" s="85" t="s">
        <v>188</v>
      </c>
      <c r="F7" s="81">
        <f t="shared" si="1"/>
        <v>2</v>
      </c>
      <c r="G7" s="97">
        <f t="shared" si="2"/>
        <v>113300</v>
      </c>
      <c r="H7" s="99">
        <v>1</v>
      </c>
      <c r="I7" s="99">
        <f t="shared" si="3"/>
        <v>55000</v>
      </c>
      <c r="K7" s="85" t="s">
        <v>188</v>
      </c>
      <c r="L7" s="100">
        <f t="shared" si="4"/>
        <v>3</v>
      </c>
      <c r="M7" s="104">
        <f t="shared" si="5"/>
        <v>173349</v>
      </c>
      <c r="N7" s="106">
        <v>1</v>
      </c>
      <c r="O7" s="106">
        <f t="shared" si="6"/>
        <v>55000</v>
      </c>
      <c r="Q7" s="85" t="s">
        <v>188</v>
      </c>
      <c r="R7" s="100">
        <f t="shared" si="7"/>
        <v>4</v>
      </c>
      <c r="S7" s="104">
        <f t="shared" si="8"/>
        <v>235199.47</v>
      </c>
      <c r="T7" s="106">
        <v>1</v>
      </c>
      <c r="U7" s="106">
        <f t="shared" si="9"/>
        <v>55000</v>
      </c>
      <c r="W7" s="85" t="s">
        <v>188</v>
      </c>
      <c r="X7" s="100">
        <f t="shared" si="10"/>
        <v>5</v>
      </c>
      <c r="Y7" s="104">
        <f t="shared" si="11"/>
        <v>298905.45409999997</v>
      </c>
      <c r="Z7" s="106">
        <v>2</v>
      </c>
      <c r="AA7" s="106">
        <f t="shared" si="12"/>
        <v>110000</v>
      </c>
    </row>
    <row r="8" spans="1:27" x14ac:dyDescent="0.2">
      <c r="A8" s="85" t="s">
        <v>189</v>
      </c>
      <c r="B8" s="84">
        <v>3</v>
      </c>
      <c r="C8" s="82">
        <f t="shared" si="0"/>
        <v>51000</v>
      </c>
      <c r="E8" s="85" t="s">
        <v>189</v>
      </c>
      <c r="F8" s="81">
        <f t="shared" si="1"/>
        <v>3</v>
      </c>
      <c r="G8" s="97">
        <f t="shared" si="2"/>
        <v>52530</v>
      </c>
      <c r="H8" s="99">
        <v>1</v>
      </c>
      <c r="I8" s="99">
        <f t="shared" si="3"/>
        <v>17000</v>
      </c>
      <c r="K8" s="85" t="s">
        <v>189</v>
      </c>
      <c r="L8" s="100">
        <f t="shared" si="4"/>
        <v>4</v>
      </c>
      <c r="M8" s="104">
        <f t="shared" si="5"/>
        <v>71615.900000000009</v>
      </c>
      <c r="N8" s="106">
        <v>1</v>
      </c>
      <c r="O8" s="106">
        <f t="shared" si="6"/>
        <v>17000</v>
      </c>
      <c r="Q8" s="85" t="s">
        <v>189</v>
      </c>
      <c r="R8" s="100">
        <f t="shared" si="7"/>
        <v>5</v>
      </c>
      <c r="S8" s="104">
        <f t="shared" si="8"/>
        <v>91274.377000000008</v>
      </c>
      <c r="T8" s="106">
        <v>3</v>
      </c>
      <c r="U8" s="106">
        <f t="shared" si="9"/>
        <v>51000</v>
      </c>
      <c r="W8" s="85" t="s">
        <v>189</v>
      </c>
      <c r="X8" s="100">
        <f t="shared" si="10"/>
        <v>8</v>
      </c>
      <c r="Y8" s="104">
        <f t="shared" si="11"/>
        <v>146542.60831000001</v>
      </c>
      <c r="Z8" s="106">
        <v>1</v>
      </c>
      <c r="AA8" s="106">
        <f t="shared" si="12"/>
        <v>17000</v>
      </c>
    </row>
    <row r="9" spans="1:27" x14ac:dyDescent="0.2">
      <c r="A9" s="85" t="s">
        <v>52</v>
      </c>
      <c r="B9" s="84">
        <v>2</v>
      </c>
      <c r="C9" s="82">
        <f t="shared" si="0"/>
        <v>20000</v>
      </c>
      <c r="E9" s="85" t="s">
        <v>52</v>
      </c>
      <c r="F9" s="81">
        <f t="shared" si="1"/>
        <v>2</v>
      </c>
      <c r="G9" s="97">
        <f t="shared" si="2"/>
        <v>20600</v>
      </c>
      <c r="H9" s="99">
        <v>1</v>
      </c>
      <c r="I9" s="99">
        <f t="shared" si="3"/>
        <v>10000</v>
      </c>
      <c r="K9" s="85" t="s">
        <v>52</v>
      </c>
      <c r="L9" s="100">
        <f t="shared" si="4"/>
        <v>3</v>
      </c>
      <c r="M9" s="104">
        <f t="shared" si="5"/>
        <v>31518</v>
      </c>
      <c r="N9" s="106">
        <v>0</v>
      </c>
      <c r="O9" s="106">
        <f t="shared" si="6"/>
        <v>0</v>
      </c>
      <c r="Q9" s="85" t="s">
        <v>52</v>
      </c>
      <c r="R9" s="100">
        <f t="shared" si="7"/>
        <v>3</v>
      </c>
      <c r="S9" s="104">
        <f t="shared" si="8"/>
        <v>32463.54</v>
      </c>
      <c r="T9" s="106">
        <v>1</v>
      </c>
      <c r="U9" s="106">
        <f t="shared" si="9"/>
        <v>10000</v>
      </c>
      <c r="W9" s="85" t="s">
        <v>52</v>
      </c>
      <c r="X9" s="100">
        <f t="shared" si="10"/>
        <v>4</v>
      </c>
      <c r="Y9" s="104">
        <f t="shared" si="11"/>
        <v>43737.446199999998</v>
      </c>
      <c r="Z9" s="106">
        <v>0</v>
      </c>
      <c r="AA9" s="106">
        <f t="shared" si="12"/>
        <v>0</v>
      </c>
    </row>
    <row r="10" spans="1:27" x14ac:dyDescent="0.2">
      <c r="A10" s="83" t="s">
        <v>53</v>
      </c>
      <c r="B10" s="84">
        <v>1</v>
      </c>
      <c r="C10" s="82">
        <f t="shared" si="0"/>
        <v>18000</v>
      </c>
      <c r="E10" s="83" t="s">
        <v>53</v>
      </c>
      <c r="F10" s="81">
        <f t="shared" si="1"/>
        <v>1</v>
      </c>
      <c r="G10" s="97">
        <f t="shared" si="2"/>
        <v>18540</v>
      </c>
      <c r="H10" s="99">
        <v>0</v>
      </c>
      <c r="I10" s="99">
        <f t="shared" si="3"/>
        <v>0</v>
      </c>
      <c r="K10" s="83" t="s">
        <v>53</v>
      </c>
      <c r="L10" s="100">
        <f t="shared" si="4"/>
        <v>1</v>
      </c>
      <c r="M10" s="104">
        <f t="shared" si="5"/>
        <v>19096.2</v>
      </c>
      <c r="N10" s="106">
        <v>1</v>
      </c>
      <c r="O10" s="106">
        <f t="shared" si="6"/>
        <v>18000</v>
      </c>
      <c r="Q10" s="83" t="s">
        <v>53</v>
      </c>
      <c r="R10" s="100">
        <f t="shared" si="7"/>
        <v>2</v>
      </c>
      <c r="S10" s="104">
        <f t="shared" si="8"/>
        <v>38209.085999999996</v>
      </c>
      <c r="T10" s="106">
        <v>0</v>
      </c>
      <c r="U10" s="106">
        <f t="shared" si="9"/>
        <v>0</v>
      </c>
      <c r="W10" s="83" t="s">
        <v>53</v>
      </c>
      <c r="X10" s="100">
        <f t="shared" si="10"/>
        <v>2</v>
      </c>
      <c r="Y10" s="104">
        <f t="shared" si="11"/>
        <v>39355.35858</v>
      </c>
      <c r="Z10" s="106">
        <v>0</v>
      </c>
      <c r="AA10" s="106">
        <f t="shared" si="12"/>
        <v>0</v>
      </c>
    </row>
    <row r="11" spans="1:27" x14ac:dyDescent="0.2">
      <c r="A11" s="83" t="s">
        <v>39</v>
      </c>
      <c r="B11" s="84">
        <v>1</v>
      </c>
      <c r="C11" s="82">
        <f t="shared" si="0"/>
        <v>15000</v>
      </c>
      <c r="E11" s="83" t="s">
        <v>39</v>
      </c>
      <c r="F11" s="81">
        <f t="shared" si="1"/>
        <v>1</v>
      </c>
      <c r="G11" s="97">
        <f t="shared" si="2"/>
        <v>15450</v>
      </c>
      <c r="H11" s="99">
        <v>0</v>
      </c>
      <c r="I11" s="99">
        <f t="shared" si="3"/>
        <v>0</v>
      </c>
      <c r="K11" s="83" t="s">
        <v>39</v>
      </c>
      <c r="L11" s="100">
        <f t="shared" si="4"/>
        <v>1</v>
      </c>
      <c r="M11" s="104">
        <f t="shared" si="5"/>
        <v>15913.5</v>
      </c>
      <c r="N11" s="106">
        <v>0</v>
      </c>
      <c r="O11" s="106">
        <f t="shared" si="6"/>
        <v>0</v>
      </c>
      <c r="Q11" s="83" t="s">
        <v>39</v>
      </c>
      <c r="R11" s="100">
        <f t="shared" si="7"/>
        <v>1</v>
      </c>
      <c r="S11" s="104">
        <f t="shared" si="8"/>
        <v>16390.904999999999</v>
      </c>
      <c r="T11" s="106">
        <v>0</v>
      </c>
      <c r="U11" s="106">
        <f t="shared" si="9"/>
        <v>0</v>
      </c>
      <c r="W11" s="83" t="s">
        <v>39</v>
      </c>
      <c r="X11" s="100">
        <f t="shared" si="10"/>
        <v>1</v>
      </c>
      <c r="Y11" s="104">
        <f t="shared" si="11"/>
        <v>16882.632149999998</v>
      </c>
      <c r="Z11" s="106">
        <v>0</v>
      </c>
      <c r="AA11" s="106">
        <f t="shared" si="12"/>
        <v>0</v>
      </c>
    </row>
    <row r="12" spans="1:27" x14ac:dyDescent="0.2">
      <c r="A12" s="83" t="s">
        <v>40</v>
      </c>
      <c r="B12" s="84">
        <v>1</v>
      </c>
      <c r="C12" s="82">
        <f t="shared" si="0"/>
        <v>8000</v>
      </c>
      <c r="E12" s="83" t="s">
        <v>40</v>
      </c>
      <c r="F12" s="81">
        <f t="shared" si="1"/>
        <v>1</v>
      </c>
      <c r="G12" s="97">
        <f t="shared" si="2"/>
        <v>8240</v>
      </c>
      <c r="H12" s="99">
        <v>0</v>
      </c>
      <c r="I12" s="99">
        <f t="shared" si="3"/>
        <v>0</v>
      </c>
      <c r="K12" s="83" t="s">
        <v>40</v>
      </c>
      <c r="L12" s="100">
        <f t="shared" si="4"/>
        <v>1</v>
      </c>
      <c r="M12" s="104">
        <f t="shared" si="5"/>
        <v>8487.2000000000007</v>
      </c>
      <c r="N12" s="106">
        <v>0</v>
      </c>
      <c r="O12" s="106">
        <f t="shared" si="6"/>
        <v>0</v>
      </c>
      <c r="Q12" s="83" t="s">
        <v>40</v>
      </c>
      <c r="R12" s="100">
        <f t="shared" si="7"/>
        <v>1</v>
      </c>
      <c r="S12" s="104">
        <f t="shared" si="8"/>
        <v>8741.8160000000007</v>
      </c>
      <c r="T12" s="106">
        <v>0</v>
      </c>
      <c r="U12" s="106">
        <f t="shared" si="9"/>
        <v>0</v>
      </c>
      <c r="W12" s="83" t="s">
        <v>40</v>
      </c>
      <c r="X12" s="100">
        <f t="shared" si="10"/>
        <v>1</v>
      </c>
      <c r="Y12" s="104">
        <f t="shared" si="11"/>
        <v>9004.0704800000003</v>
      </c>
      <c r="Z12" s="106">
        <v>1</v>
      </c>
      <c r="AA12" s="106">
        <f t="shared" si="12"/>
        <v>8000</v>
      </c>
    </row>
    <row r="13" spans="1:27" x14ac:dyDescent="0.2">
      <c r="A13" s="83" t="s">
        <v>41</v>
      </c>
      <c r="B13" s="84">
        <v>2</v>
      </c>
      <c r="C13" s="82">
        <f t="shared" si="0"/>
        <v>20000</v>
      </c>
      <c r="E13" s="83" t="s">
        <v>41</v>
      </c>
      <c r="F13" s="81">
        <f t="shared" si="1"/>
        <v>2</v>
      </c>
      <c r="G13" s="97">
        <f t="shared" si="2"/>
        <v>20600</v>
      </c>
      <c r="H13" s="99">
        <v>0</v>
      </c>
      <c r="I13" s="99">
        <f t="shared" si="3"/>
        <v>0</v>
      </c>
      <c r="K13" s="83" t="s">
        <v>41</v>
      </c>
      <c r="L13" s="100">
        <f t="shared" si="4"/>
        <v>2</v>
      </c>
      <c r="M13" s="104">
        <f t="shared" si="5"/>
        <v>21218</v>
      </c>
      <c r="N13" s="106">
        <v>0</v>
      </c>
      <c r="O13" s="106">
        <f t="shared" si="6"/>
        <v>0</v>
      </c>
      <c r="Q13" s="83" t="s">
        <v>41</v>
      </c>
      <c r="R13" s="100">
        <f t="shared" si="7"/>
        <v>2</v>
      </c>
      <c r="S13" s="104">
        <f t="shared" si="8"/>
        <v>21854.54</v>
      </c>
      <c r="T13" s="106">
        <v>1</v>
      </c>
      <c r="U13" s="106">
        <f t="shared" si="9"/>
        <v>10000</v>
      </c>
      <c r="W13" s="83" t="s">
        <v>41</v>
      </c>
      <c r="X13" s="100">
        <f t="shared" si="10"/>
        <v>3</v>
      </c>
      <c r="Y13" s="104">
        <f t="shared" si="11"/>
        <v>32810.176200000002</v>
      </c>
      <c r="Z13" s="106">
        <v>0</v>
      </c>
      <c r="AA13" s="106">
        <f t="shared" si="12"/>
        <v>0</v>
      </c>
    </row>
    <row r="14" spans="1:27" x14ac:dyDescent="0.2">
      <c r="A14" s="86" t="s">
        <v>86</v>
      </c>
      <c r="B14" s="87">
        <v>1</v>
      </c>
      <c r="C14" s="82">
        <f t="shared" si="0"/>
        <v>25000</v>
      </c>
      <c r="E14" s="86" t="s">
        <v>86</v>
      </c>
      <c r="F14" s="81">
        <f t="shared" si="1"/>
        <v>1</v>
      </c>
      <c r="G14" s="97">
        <f t="shared" si="2"/>
        <v>25750</v>
      </c>
      <c r="H14" s="99">
        <v>0</v>
      </c>
      <c r="I14" s="99">
        <f t="shared" si="3"/>
        <v>0</v>
      </c>
      <c r="K14" s="86" t="s">
        <v>86</v>
      </c>
      <c r="L14" s="100">
        <f t="shared" si="4"/>
        <v>1</v>
      </c>
      <c r="M14" s="104">
        <f t="shared" si="5"/>
        <v>26522.5</v>
      </c>
      <c r="N14" s="106">
        <v>0</v>
      </c>
      <c r="O14" s="106">
        <f t="shared" si="6"/>
        <v>0</v>
      </c>
      <c r="Q14" s="86" t="s">
        <v>86</v>
      </c>
      <c r="R14" s="100">
        <f t="shared" si="7"/>
        <v>1</v>
      </c>
      <c r="S14" s="104">
        <f t="shared" si="8"/>
        <v>27318.174999999999</v>
      </c>
      <c r="T14" s="106">
        <v>0</v>
      </c>
      <c r="U14" s="106">
        <f t="shared" si="9"/>
        <v>0</v>
      </c>
      <c r="W14" s="86" t="s">
        <v>86</v>
      </c>
      <c r="X14" s="100">
        <f t="shared" si="10"/>
        <v>1</v>
      </c>
      <c r="Y14" s="104">
        <f t="shared" si="11"/>
        <v>28137.720249999998</v>
      </c>
      <c r="Z14" s="106">
        <v>0</v>
      </c>
      <c r="AA14" s="106">
        <f t="shared" si="12"/>
        <v>0</v>
      </c>
    </row>
    <row r="15" spans="1:27" ht="13.5" thickBot="1" x14ac:dyDescent="0.25">
      <c r="A15" s="86" t="s">
        <v>42</v>
      </c>
      <c r="B15" s="87">
        <v>2</v>
      </c>
      <c r="C15" s="82">
        <f t="shared" si="0"/>
        <v>40000</v>
      </c>
      <c r="E15" s="86" t="s">
        <v>42</v>
      </c>
      <c r="F15" s="81">
        <f t="shared" si="1"/>
        <v>2</v>
      </c>
      <c r="G15" s="97">
        <f t="shared" si="2"/>
        <v>41200</v>
      </c>
      <c r="H15" s="111">
        <v>0</v>
      </c>
      <c r="I15" s="111">
        <f t="shared" si="3"/>
        <v>0</v>
      </c>
      <c r="K15" s="86" t="s">
        <v>42</v>
      </c>
      <c r="L15" s="100">
        <f t="shared" si="4"/>
        <v>2</v>
      </c>
      <c r="M15" s="104">
        <f t="shared" si="5"/>
        <v>42436</v>
      </c>
      <c r="N15" s="108">
        <v>0</v>
      </c>
      <c r="O15" s="108">
        <f t="shared" si="6"/>
        <v>0</v>
      </c>
      <c r="Q15" s="86" t="s">
        <v>42</v>
      </c>
      <c r="R15" s="100">
        <f t="shared" si="7"/>
        <v>2</v>
      </c>
      <c r="S15" s="104">
        <f t="shared" si="8"/>
        <v>43709.08</v>
      </c>
      <c r="T15" s="108">
        <v>0</v>
      </c>
      <c r="U15" s="108">
        <f t="shared" si="9"/>
        <v>0</v>
      </c>
      <c r="W15" s="86" t="s">
        <v>42</v>
      </c>
      <c r="X15" s="100">
        <f t="shared" si="10"/>
        <v>2</v>
      </c>
      <c r="Y15" s="104">
        <f t="shared" si="11"/>
        <v>45020.352400000003</v>
      </c>
      <c r="Z15" s="108">
        <v>0</v>
      </c>
      <c r="AA15" s="108">
        <f t="shared" si="12"/>
        <v>0</v>
      </c>
    </row>
    <row r="16" spans="1:27" ht="13.5" thickBot="1" x14ac:dyDescent="0.25">
      <c r="A16" s="88" t="s">
        <v>43</v>
      </c>
      <c r="B16" s="89">
        <f>SUM(B3:B15)</f>
        <v>20</v>
      </c>
      <c r="C16" s="90">
        <f>SUM(C3:C15)</f>
        <v>612000</v>
      </c>
      <c r="E16" s="88" t="s">
        <v>43</v>
      </c>
      <c r="F16" s="89">
        <f>SUM(F3:F15)</f>
        <v>20</v>
      </c>
      <c r="G16" s="98">
        <f>SUM(G3:G15)</f>
        <v>630360</v>
      </c>
      <c r="H16" s="113">
        <f>SUM(H3:H15)</f>
        <v>3</v>
      </c>
      <c r="I16" s="113">
        <f>SUM(I3:I15)</f>
        <v>82000</v>
      </c>
      <c r="K16" s="88" t="s">
        <v>43</v>
      </c>
      <c r="L16" s="89">
        <f>SUM(L3:L15)</f>
        <v>23</v>
      </c>
      <c r="M16" s="98">
        <f>SUM(M3:M15)</f>
        <v>733730.79999999993</v>
      </c>
      <c r="N16" s="109">
        <f>SUM(N3:N15)</f>
        <v>5</v>
      </c>
      <c r="O16" s="116">
        <f>SUM(O3:O15)</f>
        <v>195000</v>
      </c>
      <c r="Q16" s="91" t="s">
        <v>43</v>
      </c>
      <c r="R16" s="88">
        <f>SUM(R3:R15)</f>
        <v>28</v>
      </c>
      <c r="S16" s="98">
        <f>SUM(S3:S15)</f>
        <v>956592.72400000005</v>
      </c>
      <c r="T16" s="109">
        <f>SUM(T3:T15)</f>
        <v>7</v>
      </c>
      <c r="U16" s="109">
        <f>SUM(U3:U15)</f>
        <v>201000</v>
      </c>
      <c r="W16" s="88" t="s">
        <v>43</v>
      </c>
      <c r="X16" s="89">
        <f>SUM(X3:X15)</f>
        <v>35</v>
      </c>
      <c r="Y16" s="98">
        <f>SUM(Y3:Y15)</f>
        <v>1192320.50572</v>
      </c>
      <c r="Z16" s="113">
        <f>SUM(Z3:Z15)</f>
        <v>4</v>
      </c>
      <c r="AA16" s="113">
        <f>SUM(AA3:AA15)</f>
        <v>135000</v>
      </c>
    </row>
    <row r="17" spans="1:27" ht="15.75" customHeight="1" thickBot="1" x14ac:dyDescent="0.25">
      <c r="A17" s="243" t="s">
        <v>44</v>
      </c>
      <c r="B17" s="245"/>
      <c r="C17" s="92">
        <f>C16*12</f>
        <v>7344000</v>
      </c>
      <c r="E17" s="278" t="s">
        <v>44</v>
      </c>
      <c r="F17" s="279"/>
      <c r="G17" s="110">
        <f>G16*12</f>
        <v>7564320</v>
      </c>
      <c r="H17" s="275">
        <f>I16*12</f>
        <v>984000</v>
      </c>
      <c r="I17" s="276"/>
      <c r="K17" s="243" t="s">
        <v>44</v>
      </c>
      <c r="L17" s="245"/>
      <c r="M17" s="105">
        <f>M16*12</f>
        <v>8804769.5999999996</v>
      </c>
      <c r="N17" s="268">
        <f>O16*12</f>
        <v>2340000</v>
      </c>
      <c r="O17" s="269"/>
      <c r="Q17" s="243" t="s">
        <v>44</v>
      </c>
      <c r="R17" s="245"/>
      <c r="S17" s="105">
        <f>S16*12</f>
        <v>11479112.688000001</v>
      </c>
      <c r="T17" s="268">
        <f>U16*12</f>
        <v>2412000</v>
      </c>
      <c r="U17" s="269"/>
      <c r="W17" s="243" t="s">
        <v>44</v>
      </c>
      <c r="X17" s="245"/>
      <c r="Y17" s="105">
        <f>Y16*12</f>
        <v>14307846.068640001</v>
      </c>
      <c r="Z17" s="270">
        <f>AA16*12</f>
        <v>1620000</v>
      </c>
      <c r="AA17" s="271"/>
    </row>
    <row r="18" spans="1:27" ht="13.5" thickBot="1" x14ac:dyDescent="0.25">
      <c r="E18" s="265" t="s">
        <v>190</v>
      </c>
      <c r="F18" s="266"/>
      <c r="G18" s="266"/>
      <c r="H18" s="267"/>
      <c r="I18" s="114">
        <f>SUM(G17:I17)</f>
        <v>8548320</v>
      </c>
      <c r="K18" s="265" t="s">
        <v>191</v>
      </c>
      <c r="L18" s="266"/>
      <c r="M18" s="266"/>
      <c r="N18" s="267"/>
      <c r="O18" s="114">
        <f>SUM(M17:O17)</f>
        <v>11144769.6</v>
      </c>
      <c r="P18" s="77"/>
      <c r="Q18" s="265" t="s">
        <v>192</v>
      </c>
      <c r="R18" s="266"/>
      <c r="S18" s="266"/>
      <c r="T18" s="267"/>
      <c r="U18" s="115">
        <f>SUM(S17:U17)</f>
        <v>13891112.688000001</v>
      </c>
      <c r="V18" s="77"/>
      <c r="W18" s="265" t="s">
        <v>193</v>
      </c>
      <c r="X18" s="266"/>
      <c r="Y18" s="266"/>
      <c r="Z18" s="267"/>
      <c r="AA18" s="114">
        <f>SUM(Y17:AA17)</f>
        <v>15927846.068640001</v>
      </c>
    </row>
    <row r="19" spans="1:27" ht="14.25" x14ac:dyDescent="0.2">
      <c r="A19" s="274" t="s">
        <v>185</v>
      </c>
      <c r="B19" s="274"/>
    </row>
    <row r="20" spans="1:27" x14ac:dyDescent="0.2">
      <c r="A20" s="95" t="s">
        <v>36</v>
      </c>
      <c r="B20" s="95" t="s">
        <v>47</v>
      </c>
    </row>
    <row r="21" spans="1:27" x14ac:dyDescent="0.2">
      <c r="A21" s="80" t="s">
        <v>38</v>
      </c>
      <c r="B21" s="96">
        <v>30000</v>
      </c>
      <c r="I21" s="101"/>
    </row>
    <row r="22" spans="1:27" x14ac:dyDescent="0.2">
      <c r="A22" s="83" t="s">
        <v>46</v>
      </c>
      <c r="B22" s="96">
        <v>30000</v>
      </c>
    </row>
    <row r="23" spans="1:27" x14ac:dyDescent="0.2">
      <c r="A23" s="85" t="s">
        <v>186</v>
      </c>
      <c r="B23" s="96">
        <v>140000</v>
      </c>
    </row>
    <row r="24" spans="1:27" x14ac:dyDescent="0.2">
      <c r="A24" s="85" t="s">
        <v>187</v>
      </c>
      <c r="B24" s="96">
        <v>75000</v>
      </c>
    </row>
    <row r="25" spans="1:27" x14ac:dyDescent="0.2">
      <c r="A25" s="85" t="s">
        <v>188</v>
      </c>
      <c r="B25" s="96">
        <v>55000</v>
      </c>
    </row>
    <row r="26" spans="1:27" x14ac:dyDescent="0.2">
      <c r="A26" s="85" t="s">
        <v>189</v>
      </c>
      <c r="B26" s="96">
        <v>17000</v>
      </c>
    </row>
    <row r="27" spans="1:27" x14ac:dyDescent="0.2">
      <c r="A27" s="85" t="s">
        <v>52</v>
      </c>
      <c r="B27" s="96">
        <v>10000</v>
      </c>
    </row>
    <row r="28" spans="1:27" x14ac:dyDescent="0.2">
      <c r="A28" s="83" t="s">
        <v>53</v>
      </c>
      <c r="B28" s="96">
        <v>18000</v>
      </c>
    </row>
    <row r="29" spans="1:27" x14ac:dyDescent="0.2">
      <c r="A29" s="83" t="s">
        <v>39</v>
      </c>
      <c r="B29" s="96">
        <v>15000</v>
      </c>
    </row>
    <row r="30" spans="1:27" x14ac:dyDescent="0.2">
      <c r="A30" s="83" t="s">
        <v>40</v>
      </c>
      <c r="B30" s="96">
        <v>8000</v>
      </c>
    </row>
    <row r="31" spans="1:27" x14ac:dyDescent="0.2">
      <c r="A31" s="83" t="s">
        <v>41</v>
      </c>
      <c r="B31" s="96">
        <v>10000</v>
      </c>
    </row>
    <row r="32" spans="1:27" x14ac:dyDescent="0.2">
      <c r="A32" s="86" t="s">
        <v>86</v>
      </c>
      <c r="B32" s="96">
        <v>25000</v>
      </c>
    </row>
    <row r="33" spans="1:2" x14ac:dyDescent="0.2">
      <c r="A33" s="83" t="s">
        <v>42</v>
      </c>
      <c r="B33" s="96">
        <v>20000</v>
      </c>
    </row>
  </sheetData>
  <mergeCells count="19">
    <mergeCell ref="A1:C1"/>
    <mergeCell ref="A17:B17"/>
    <mergeCell ref="E17:F17"/>
    <mergeCell ref="K17:L17"/>
    <mergeCell ref="Q17:R17"/>
    <mergeCell ref="A19:B19"/>
    <mergeCell ref="H17:I17"/>
    <mergeCell ref="E18:H18"/>
    <mergeCell ref="K18:N18"/>
    <mergeCell ref="N17:O17"/>
    <mergeCell ref="Q18:T18"/>
    <mergeCell ref="T17:U17"/>
    <mergeCell ref="Z17:AA17"/>
    <mergeCell ref="W18:Z18"/>
    <mergeCell ref="E1:I1"/>
    <mergeCell ref="K1:O1"/>
    <mergeCell ref="Q1:U1"/>
    <mergeCell ref="W1:AA1"/>
    <mergeCell ref="W17:X17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showGridLines="0" zoomScaleNormal="100" workbookViewId="0">
      <selection sqref="A1:G36"/>
    </sheetView>
  </sheetViews>
  <sheetFormatPr defaultColWidth="27.42578125" defaultRowHeight="15" x14ac:dyDescent="0.25"/>
  <cols>
    <col min="1" max="1" width="5" style="1" bestFit="1" customWidth="1"/>
    <col min="2" max="2" width="26" style="1" bestFit="1" customWidth="1"/>
    <col min="3" max="4" width="13.5703125" style="1" bestFit="1" customWidth="1"/>
    <col min="5" max="7" width="12.7109375" style="1" bestFit="1" customWidth="1"/>
  </cols>
  <sheetData>
    <row r="1" spans="1:7" ht="18.75" x14ac:dyDescent="0.25">
      <c r="A1" s="280" t="s">
        <v>64</v>
      </c>
      <c r="B1" s="281"/>
      <c r="C1" s="281"/>
      <c r="D1" s="281"/>
      <c r="E1" s="281"/>
      <c r="F1" s="281"/>
      <c r="G1" s="282"/>
    </row>
    <row r="2" spans="1:7" x14ac:dyDescent="0.25">
      <c r="A2" s="195"/>
      <c r="B2" s="198" t="s">
        <v>0</v>
      </c>
      <c r="C2" s="34" t="s">
        <v>47</v>
      </c>
      <c r="D2" s="34" t="s">
        <v>47</v>
      </c>
      <c r="E2" s="34" t="s">
        <v>47</v>
      </c>
      <c r="F2" s="196" t="s">
        <v>47</v>
      </c>
      <c r="G2" s="197" t="s">
        <v>47</v>
      </c>
    </row>
    <row r="3" spans="1:7" x14ac:dyDescent="0.25">
      <c r="A3" s="37"/>
      <c r="B3" s="38"/>
      <c r="C3" s="34" t="s">
        <v>67</v>
      </c>
      <c r="D3" s="34" t="s">
        <v>68</v>
      </c>
      <c r="E3" s="34" t="s">
        <v>69</v>
      </c>
      <c r="F3" s="34" t="s">
        <v>70</v>
      </c>
      <c r="G3" s="39" t="s">
        <v>163</v>
      </c>
    </row>
    <row r="4" spans="1:7" x14ac:dyDescent="0.25">
      <c r="A4" s="37"/>
      <c r="B4" s="35" t="s">
        <v>147</v>
      </c>
      <c r="C4" s="40">
        <f>Revenues!C16</f>
        <v>9837477.5</v>
      </c>
      <c r="D4" s="40">
        <f>Revenues!H16</f>
        <v>23307443</v>
      </c>
      <c r="E4" s="40">
        <f>Revenues!M16</f>
        <v>32129920.5</v>
      </c>
      <c r="F4" s="40">
        <f>Revenues!C33</f>
        <v>39212402.5</v>
      </c>
      <c r="G4" s="41">
        <f>Revenues!H33</f>
        <v>45742387</v>
      </c>
    </row>
    <row r="5" spans="1:7" x14ac:dyDescent="0.25">
      <c r="A5" s="37" t="s">
        <v>48</v>
      </c>
      <c r="B5" s="35" t="s">
        <v>150</v>
      </c>
      <c r="C5" s="40"/>
      <c r="D5" s="40"/>
      <c r="E5" s="40"/>
      <c r="F5" s="40"/>
      <c r="G5" s="41"/>
    </row>
    <row r="6" spans="1:7" x14ac:dyDescent="0.25">
      <c r="A6" s="37"/>
      <c r="B6" s="33" t="s">
        <v>151</v>
      </c>
      <c r="C6" s="40">
        <f>Salary!C17</f>
        <v>7344000</v>
      </c>
      <c r="D6" s="40">
        <f>Salary!I18</f>
        <v>8548320</v>
      </c>
      <c r="E6" s="40">
        <f>Salary!O18</f>
        <v>11144769.6</v>
      </c>
      <c r="F6" s="40">
        <f>Salary!U18</f>
        <v>13891112.688000001</v>
      </c>
      <c r="G6" s="41">
        <f>Salary!AA18</f>
        <v>15927846.068640001</v>
      </c>
    </row>
    <row r="7" spans="1:7" x14ac:dyDescent="0.25">
      <c r="A7" s="37"/>
      <c r="B7" s="33" t="s">
        <v>152</v>
      </c>
      <c r="C7" s="40">
        <v>3600000</v>
      </c>
      <c r="D7" s="40">
        <v>3708000</v>
      </c>
      <c r="E7" s="40">
        <v>3819240</v>
      </c>
      <c r="F7" s="40">
        <v>3933817.2</v>
      </c>
      <c r="G7" s="41">
        <v>4051831.7160000005</v>
      </c>
    </row>
    <row r="8" spans="1:7" x14ac:dyDescent="0.25">
      <c r="A8" s="171"/>
      <c r="B8" s="54" t="s">
        <v>153</v>
      </c>
      <c r="C8" s="42">
        <f>SUM(C6:C7)</f>
        <v>10944000</v>
      </c>
      <c r="D8" s="42">
        <f>SUM(D6:D7)</f>
        <v>12256320</v>
      </c>
      <c r="E8" s="42">
        <f>SUM(E6:E7)</f>
        <v>14964009.6</v>
      </c>
      <c r="F8" s="42">
        <f>SUM(F6:F7)</f>
        <v>17824929.888</v>
      </c>
      <c r="G8" s="128">
        <f>SUM(G6:G7)</f>
        <v>19979677.784640003</v>
      </c>
    </row>
    <row r="9" spans="1:7" x14ac:dyDescent="0.25">
      <c r="A9" s="171"/>
      <c r="B9" s="36" t="s">
        <v>154</v>
      </c>
      <c r="C9" s="43">
        <f>C4-C8</f>
        <v>-1106522.5</v>
      </c>
      <c r="D9" s="43">
        <f>D4-D8</f>
        <v>11051123</v>
      </c>
      <c r="E9" s="43">
        <f>E4-E8</f>
        <v>17165910.899999999</v>
      </c>
      <c r="F9" s="43">
        <f>F4-F8</f>
        <v>21387472.612</v>
      </c>
      <c r="G9" s="126">
        <f>G4-G8</f>
        <v>25762709.215359997</v>
      </c>
    </row>
    <row r="10" spans="1:7" x14ac:dyDescent="0.25">
      <c r="A10" s="37" t="s">
        <v>48</v>
      </c>
      <c r="B10" s="35" t="s">
        <v>49</v>
      </c>
      <c r="C10" s="40"/>
      <c r="D10" s="40"/>
      <c r="E10" s="40"/>
      <c r="F10" s="44"/>
      <c r="G10" s="45"/>
    </row>
    <row r="11" spans="1:7" x14ac:dyDescent="0.25">
      <c r="A11" s="37"/>
      <c r="B11" s="33" t="s">
        <v>27</v>
      </c>
      <c r="C11" s="40">
        <f>'Area, Building'!C19*12</f>
        <v>7800000</v>
      </c>
      <c r="D11" s="40">
        <f>C11*1.1</f>
        <v>8580000</v>
      </c>
      <c r="E11" s="40">
        <f>D11*1.1</f>
        <v>9438000</v>
      </c>
      <c r="F11" s="40">
        <f>E11*1.1</f>
        <v>10381800</v>
      </c>
      <c r="G11" s="41">
        <f>F11*1.1</f>
        <v>11419980</v>
      </c>
    </row>
    <row r="12" spans="1:7" x14ac:dyDescent="0.25">
      <c r="A12" s="37"/>
      <c r="B12" s="33" t="s">
        <v>51</v>
      </c>
      <c r="C12" s="40">
        <v>50000</v>
      </c>
      <c r="D12" s="40">
        <v>50000</v>
      </c>
      <c r="E12" s="40">
        <v>50000</v>
      </c>
      <c r="F12" s="40">
        <v>50000</v>
      </c>
      <c r="G12" s="41">
        <v>50000</v>
      </c>
    </row>
    <row r="13" spans="1:7" x14ac:dyDescent="0.25">
      <c r="A13" s="37"/>
      <c r="B13" s="33" t="s">
        <v>92</v>
      </c>
      <c r="C13" s="40">
        <v>100000</v>
      </c>
      <c r="D13" s="40">
        <v>100000</v>
      </c>
      <c r="E13" s="40">
        <v>100000</v>
      </c>
      <c r="F13" s="40">
        <v>100000</v>
      </c>
      <c r="G13" s="41">
        <v>100000</v>
      </c>
    </row>
    <row r="14" spans="1:7" x14ac:dyDescent="0.25">
      <c r="A14" s="37"/>
      <c r="B14" s="33" t="s">
        <v>97</v>
      </c>
      <c r="C14" s="40">
        <v>200000</v>
      </c>
      <c r="D14" s="40">
        <v>200000</v>
      </c>
      <c r="E14" s="40">
        <v>200000</v>
      </c>
      <c r="F14" s="40">
        <v>200000</v>
      </c>
      <c r="G14" s="41">
        <v>200000</v>
      </c>
    </row>
    <row r="15" spans="1:7" x14ac:dyDescent="0.25">
      <c r="A15" s="37"/>
      <c r="B15" s="33" t="s">
        <v>98</v>
      </c>
      <c r="C15" s="40">
        <v>800000</v>
      </c>
      <c r="D15" s="40">
        <v>600000</v>
      </c>
      <c r="E15" s="40">
        <v>500000</v>
      </c>
      <c r="F15" s="40">
        <v>400000</v>
      </c>
      <c r="G15" s="41">
        <v>400000</v>
      </c>
    </row>
    <row r="16" spans="1:7" x14ac:dyDescent="0.25">
      <c r="A16" s="37"/>
      <c r="B16" s="33" t="s">
        <v>93</v>
      </c>
      <c r="C16" s="40">
        <f>'Fixed Assets'!E32*10%</f>
        <v>844900</v>
      </c>
      <c r="D16" s="40">
        <f>'Fixed Assets'!E32*10%</f>
        <v>844900</v>
      </c>
      <c r="E16" s="40">
        <f>'Fixed Assets'!E32*10%</f>
        <v>844900</v>
      </c>
      <c r="F16" s="40">
        <f>'Fixed Assets'!E32*10%</f>
        <v>844900</v>
      </c>
      <c r="G16" s="41">
        <f>'Fixed Assets'!E32*10%</f>
        <v>844900</v>
      </c>
    </row>
    <row r="17" spans="1:7" x14ac:dyDescent="0.25">
      <c r="A17" s="37"/>
      <c r="B17" s="33" t="s">
        <v>101</v>
      </c>
      <c r="C17" s="40"/>
      <c r="D17" s="40"/>
      <c r="E17" s="40"/>
      <c r="F17" s="40"/>
      <c r="G17" s="41"/>
    </row>
    <row r="18" spans="1:7" x14ac:dyDescent="0.25">
      <c r="A18" s="37"/>
      <c r="B18" s="33" t="s">
        <v>102</v>
      </c>
      <c r="C18" s="40">
        <f>C4*3%</f>
        <v>295124.32500000001</v>
      </c>
      <c r="D18" s="40">
        <f>D4*3%</f>
        <v>699223.28999999992</v>
      </c>
      <c r="E18" s="40">
        <f>E4*3%</f>
        <v>963897.61499999999</v>
      </c>
      <c r="F18" s="40">
        <f>F4*3%</f>
        <v>1176372.075</v>
      </c>
      <c r="G18" s="41">
        <f>G4*3%</f>
        <v>1372271.6099999999</v>
      </c>
    </row>
    <row r="19" spans="1:7" x14ac:dyDescent="0.25">
      <c r="A19" s="37"/>
      <c r="B19" s="33" t="s">
        <v>162</v>
      </c>
      <c r="C19" s="40"/>
      <c r="D19" s="40"/>
      <c r="E19" s="40"/>
      <c r="F19" s="40"/>
      <c r="G19" s="41"/>
    </row>
    <row r="20" spans="1:7" x14ac:dyDescent="0.25">
      <c r="A20" s="37"/>
      <c r="B20" s="33" t="s">
        <v>103</v>
      </c>
      <c r="C20" s="40">
        <f>Revenues!C14*0.02</f>
        <v>165249.55000000002</v>
      </c>
      <c r="D20" s="40">
        <f>Revenues!H14*0.02</f>
        <v>252599.31</v>
      </c>
      <c r="E20" s="40">
        <f>Revenues!M14*0.02</f>
        <v>326999.10000000003</v>
      </c>
      <c r="F20" s="40">
        <f>Revenues!C31*0.02</f>
        <v>383748.95</v>
      </c>
      <c r="G20" s="41">
        <f>Revenues!H31*0.02</f>
        <v>446398.79000000004</v>
      </c>
    </row>
    <row r="21" spans="1:7" x14ac:dyDescent="0.25">
      <c r="A21" s="37"/>
      <c r="B21" s="33" t="s">
        <v>201</v>
      </c>
      <c r="C21" s="40">
        <v>0</v>
      </c>
      <c r="D21" s="40">
        <f>'Balance Sheet'!E21*0.03</f>
        <v>41606.891250000001</v>
      </c>
      <c r="E21" s="40">
        <f>'Balance Sheet'!G21*0.03</f>
        <v>18936.08598749997</v>
      </c>
      <c r="F21" s="40">
        <v>0</v>
      </c>
      <c r="G21" s="41">
        <v>0</v>
      </c>
    </row>
    <row r="22" spans="1:7" x14ac:dyDescent="0.25">
      <c r="A22" s="37"/>
      <c r="B22" s="33" t="s">
        <v>205</v>
      </c>
      <c r="C22" s="40">
        <f>'Area, Building'!C21*12</f>
        <v>600000</v>
      </c>
      <c r="D22" s="40">
        <f>C22*1.1</f>
        <v>660000</v>
      </c>
      <c r="E22" s="40">
        <f t="shared" ref="E22:G22" si="0">D22*1.1</f>
        <v>726000.00000000012</v>
      </c>
      <c r="F22" s="40">
        <f t="shared" si="0"/>
        <v>798600.00000000023</v>
      </c>
      <c r="G22" s="41">
        <f t="shared" si="0"/>
        <v>878460.00000000035</v>
      </c>
    </row>
    <row r="23" spans="1:7" x14ac:dyDescent="0.25">
      <c r="A23" s="37"/>
      <c r="B23" s="33" t="s">
        <v>66</v>
      </c>
      <c r="C23" s="40">
        <v>50000</v>
      </c>
      <c r="D23" s="40">
        <v>100000</v>
      </c>
      <c r="E23" s="40">
        <v>100000</v>
      </c>
      <c r="F23" s="44">
        <v>100000</v>
      </c>
      <c r="G23" s="45">
        <v>100000</v>
      </c>
    </row>
    <row r="24" spans="1:7" x14ac:dyDescent="0.25">
      <c r="A24" s="37"/>
      <c r="B24" s="33" t="s">
        <v>96</v>
      </c>
      <c r="C24" s="40">
        <v>100000</v>
      </c>
      <c r="D24" s="40">
        <v>100000</v>
      </c>
      <c r="E24" s="40">
        <v>100000</v>
      </c>
      <c r="F24" s="40">
        <v>100000</v>
      </c>
      <c r="G24" s="41">
        <v>100000</v>
      </c>
    </row>
    <row r="25" spans="1:7" x14ac:dyDescent="0.25">
      <c r="A25" s="37"/>
      <c r="B25" s="33" t="s">
        <v>63</v>
      </c>
      <c r="C25" s="40">
        <v>100000</v>
      </c>
      <c r="D25" s="40">
        <v>100000</v>
      </c>
      <c r="E25" s="40">
        <v>100000</v>
      </c>
      <c r="F25" s="40">
        <v>100000</v>
      </c>
      <c r="G25" s="41">
        <v>100000</v>
      </c>
    </row>
    <row r="26" spans="1:7" x14ac:dyDescent="0.25">
      <c r="A26" s="171"/>
      <c r="B26" s="54" t="s">
        <v>45</v>
      </c>
      <c r="C26" s="43">
        <f>SUM(C11:C25)</f>
        <v>11105273.875</v>
      </c>
      <c r="D26" s="43">
        <f>SUM(D11:D25)</f>
        <v>12328329.491249999</v>
      </c>
      <c r="E26" s="43">
        <f>SUM(E11:E25)</f>
        <v>13468732.800987501</v>
      </c>
      <c r="F26" s="43">
        <f>SUM(F11:F25)</f>
        <v>14635421.024999999</v>
      </c>
      <c r="G26" s="126">
        <f>SUM(G11:G25)</f>
        <v>16012010.399999999</v>
      </c>
    </row>
    <row r="27" spans="1:7" x14ac:dyDescent="0.25">
      <c r="A27" s="37"/>
      <c r="B27" s="33"/>
      <c r="C27" s="46"/>
      <c r="D27" s="46"/>
      <c r="E27" s="46"/>
      <c r="F27" s="46"/>
      <c r="G27" s="47"/>
    </row>
    <row r="28" spans="1:7" x14ac:dyDescent="0.25">
      <c r="A28" s="37" t="s">
        <v>99</v>
      </c>
      <c r="B28" s="35" t="s">
        <v>100</v>
      </c>
      <c r="C28" s="46"/>
      <c r="D28" s="46"/>
      <c r="E28" s="46"/>
      <c r="F28" s="46"/>
      <c r="G28" s="47"/>
    </row>
    <row r="29" spans="1:7" x14ac:dyDescent="0.25">
      <c r="A29" s="37"/>
      <c r="B29" s="33" t="s">
        <v>4</v>
      </c>
      <c r="C29" s="40">
        <f>90000*12</f>
        <v>1080000</v>
      </c>
      <c r="D29" s="40">
        <f>C29*1.1</f>
        <v>1188000</v>
      </c>
      <c r="E29" s="40">
        <f t="shared" ref="E29:G29" si="1">D29*1.1</f>
        <v>1306800</v>
      </c>
      <c r="F29" s="40">
        <f t="shared" si="1"/>
        <v>1437480</v>
      </c>
      <c r="G29" s="41">
        <f t="shared" si="1"/>
        <v>1581228.0000000002</v>
      </c>
    </row>
    <row r="30" spans="1:7" x14ac:dyDescent="0.25">
      <c r="A30" s="171"/>
      <c r="B30" s="54" t="s">
        <v>45</v>
      </c>
      <c r="C30" s="43">
        <f>SUM(C29)</f>
        <v>1080000</v>
      </c>
      <c r="D30" s="43">
        <f>SUM(D29)</f>
        <v>1188000</v>
      </c>
      <c r="E30" s="43">
        <f>SUM(E29)</f>
        <v>1306800</v>
      </c>
      <c r="F30" s="43">
        <f>SUM(F29)</f>
        <v>1437480</v>
      </c>
      <c r="G30" s="126">
        <f>SUM(G29)</f>
        <v>1581228.0000000002</v>
      </c>
    </row>
    <row r="31" spans="1:7" ht="15.75" thickBot="1" x14ac:dyDescent="0.3">
      <c r="A31" s="172"/>
      <c r="B31" s="48"/>
      <c r="C31" s="49"/>
      <c r="D31" s="49"/>
      <c r="E31" s="49"/>
      <c r="F31" s="49"/>
      <c r="G31" s="127"/>
    </row>
    <row r="32" spans="1:7" ht="15.75" thickBot="1" x14ac:dyDescent="0.3">
      <c r="A32" s="50"/>
      <c r="B32" s="51" t="s">
        <v>198</v>
      </c>
      <c r="C32" s="52">
        <f>C9-C26+C30</f>
        <v>-11131796.375</v>
      </c>
      <c r="D32" s="52">
        <f>D9-D26+D30</f>
        <v>-89206.491249999031</v>
      </c>
      <c r="E32" s="52">
        <f>E9-E26+E30</f>
        <v>5003978.0990124978</v>
      </c>
      <c r="F32" s="52">
        <f>F9-F26+F30</f>
        <v>8189531.5870000012</v>
      </c>
      <c r="G32" s="53">
        <f>G9-G26+G30</f>
        <v>11331926.815359998</v>
      </c>
    </row>
    <row r="33" spans="1:7" x14ac:dyDescent="0.25">
      <c r="A33" s="173"/>
      <c r="B33" s="117"/>
      <c r="C33" s="117"/>
      <c r="D33" s="117"/>
      <c r="E33" s="117"/>
      <c r="F33" s="117"/>
      <c r="G33" s="123"/>
    </row>
    <row r="34" spans="1:7" x14ac:dyDescent="0.25">
      <c r="A34" s="173" t="s">
        <v>48</v>
      </c>
      <c r="B34" s="117" t="s">
        <v>194</v>
      </c>
      <c r="C34" s="44">
        <v>0</v>
      </c>
      <c r="D34" s="118">
        <v>0</v>
      </c>
      <c r="E34" s="118">
        <f>-E32*35%</f>
        <v>-1751392.334654374</v>
      </c>
      <c r="F34" s="118">
        <f>-F32*35%</f>
        <v>-2866336.0554500003</v>
      </c>
      <c r="G34" s="124">
        <f>-G32*35%</f>
        <v>-3966174.3853759994</v>
      </c>
    </row>
    <row r="35" spans="1:7" ht="15.75" thickBot="1" x14ac:dyDescent="0.3">
      <c r="A35" s="173"/>
      <c r="B35" s="117"/>
      <c r="C35" s="117"/>
      <c r="D35" s="117"/>
      <c r="E35" s="117"/>
      <c r="F35" s="117"/>
      <c r="G35" s="125"/>
    </row>
    <row r="36" spans="1:7" ht="15.75" thickBot="1" x14ac:dyDescent="0.3">
      <c r="A36" s="119"/>
      <c r="B36" s="120" t="s">
        <v>195</v>
      </c>
      <c r="C36" s="121">
        <f>SUM(C32:C35)</f>
        <v>-11131796.375</v>
      </c>
      <c r="D36" s="121">
        <f>SUM(D32:D35)</f>
        <v>-89206.491249999031</v>
      </c>
      <c r="E36" s="121">
        <f>SUM(E32:E35)</f>
        <v>3252585.7643581238</v>
      </c>
      <c r="F36" s="121">
        <f>SUM(F32:F35)</f>
        <v>5323195.5315500014</v>
      </c>
      <c r="G36" s="122">
        <f>SUM(G32:G35)</f>
        <v>7365752.4299839996</v>
      </c>
    </row>
  </sheetData>
  <mergeCells count="1">
    <mergeCell ref="A1:G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showGridLines="0" workbookViewId="0">
      <selection sqref="A1:M1"/>
    </sheetView>
  </sheetViews>
  <sheetFormatPr defaultRowHeight="15" x14ac:dyDescent="0.25"/>
  <cols>
    <col min="1" max="1" width="38.140625" bestFit="1" customWidth="1"/>
    <col min="2" max="2" width="5.5703125" customWidth="1"/>
    <col min="3" max="3" width="12" customWidth="1"/>
    <col min="5" max="5" width="12.28515625" bestFit="1" customWidth="1"/>
    <col min="7" max="7" width="12.28515625" bestFit="1" customWidth="1"/>
    <col min="9" max="9" width="12.28515625" bestFit="1" customWidth="1"/>
    <col min="11" max="11" width="11.5703125" bestFit="1" customWidth="1"/>
    <col min="13" max="13" width="11.5703125" bestFit="1" customWidth="1"/>
  </cols>
  <sheetData>
    <row r="1" spans="1:15" ht="19.5" thickBot="1" x14ac:dyDescent="0.35">
      <c r="A1" s="283" t="s">
        <v>104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5"/>
    </row>
    <row r="2" spans="1:15" x14ac:dyDescent="0.25">
      <c r="A2" s="286" t="s">
        <v>0</v>
      </c>
      <c r="B2" s="166"/>
      <c r="C2" s="167" t="s">
        <v>71</v>
      </c>
      <c r="D2" s="167"/>
      <c r="E2" s="167" t="s">
        <v>67</v>
      </c>
      <c r="F2" s="167"/>
      <c r="G2" s="167" t="s">
        <v>68</v>
      </c>
      <c r="H2" s="167"/>
      <c r="I2" s="167" t="s">
        <v>69</v>
      </c>
      <c r="J2" s="167"/>
      <c r="K2" s="167" t="s">
        <v>70</v>
      </c>
      <c r="L2" s="167"/>
      <c r="M2" s="21" t="s">
        <v>163</v>
      </c>
    </row>
    <row r="3" spans="1:15" ht="15.75" thickBot="1" x14ac:dyDescent="0.3">
      <c r="A3" s="287"/>
      <c r="B3" s="168"/>
      <c r="C3" s="169" t="s">
        <v>47</v>
      </c>
      <c r="D3" s="169"/>
      <c r="E3" s="169" t="s">
        <v>47</v>
      </c>
      <c r="F3" s="169"/>
      <c r="G3" s="169" t="s">
        <v>47</v>
      </c>
      <c r="H3" s="169"/>
      <c r="I3" s="169" t="s">
        <v>47</v>
      </c>
      <c r="J3" s="169"/>
      <c r="K3" s="169" t="s">
        <v>47</v>
      </c>
      <c r="L3" s="169"/>
      <c r="M3" s="170" t="s">
        <v>47</v>
      </c>
    </row>
    <row r="4" spans="1:15" ht="15.75" x14ac:dyDescent="0.25">
      <c r="A4" s="156" t="s">
        <v>114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2"/>
    </row>
    <row r="5" spans="1:15" x14ac:dyDescent="0.25">
      <c r="A5" s="131" t="s">
        <v>129</v>
      </c>
      <c r="B5" s="130"/>
      <c r="C5" s="59">
        <f>'Project Cost'!C10</f>
        <v>8900000</v>
      </c>
      <c r="D5" s="130"/>
      <c r="E5" s="59">
        <v>0</v>
      </c>
      <c r="F5" s="59"/>
      <c r="G5" s="59">
        <v>0</v>
      </c>
      <c r="H5" s="59"/>
      <c r="I5" s="59">
        <f>'Cash Flow Statement'!E13</f>
        <v>3466282.8981081247</v>
      </c>
      <c r="J5" s="59"/>
      <c r="K5" s="59">
        <f>'Cash Flow Statement'!F13</f>
        <v>9634378.4296581261</v>
      </c>
      <c r="L5" s="59"/>
      <c r="M5" s="134">
        <f>'Cash Flow Statement'!G13</f>
        <v>17845030.859642126</v>
      </c>
    </row>
    <row r="6" spans="1:15" x14ac:dyDescent="0.25">
      <c r="A6" s="131" t="s">
        <v>206</v>
      </c>
      <c r="B6" s="130"/>
      <c r="C6" s="59">
        <v>0</v>
      </c>
      <c r="D6" s="130"/>
      <c r="E6" s="59">
        <v>0</v>
      </c>
      <c r="F6" s="59"/>
      <c r="G6" s="59">
        <v>0</v>
      </c>
      <c r="H6" s="59"/>
      <c r="I6" s="59">
        <v>0</v>
      </c>
      <c r="J6" s="59"/>
      <c r="K6" s="59">
        <v>0</v>
      </c>
      <c r="L6" s="59"/>
      <c r="M6" s="134">
        <v>0</v>
      </c>
    </row>
    <row r="7" spans="1:15" x14ac:dyDescent="0.25">
      <c r="A7" s="158" t="s">
        <v>45</v>
      </c>
      <c r="B7" s="159"/>
      <c r="C7" s="160">
        <f>SUM(C5:C6)</f>
        <v>8900000</v>
      </c>
      <c r="D7" s="159"/>
      <c r="E7" s="160">
        <f>SUM(E5:E6)</f>
        <v>0</v>
      </c>
      <c r="F7" s="162"/>
      <c r="G7" s="160">
        <f>SUM(G5:G6)</f>
        <v>0</v>
      </c>
      <c r="H7" s="162"/>
      <c r="I7" s="160">
        <f>SUM(I5:I6)</f>
        <v>3466282.8981081247</v>
      </c>
      <c r="J7" s="162"/>
      <c r="K7" s="160">
        <f>SUM(K5:K6)</f>
        <v>9634378.4296581261</v>
      </c>
      <c r="L7" s="162"/>
      <c r="M7" s="165">
        <f>SUM(M5:M6)</f>
        <v>17845030.859642126</v>
      </c>
    </row>
    <row r="8" spans="1:15" x14ac:dyDescent="0.25">
      <c r="A8" s="131"/>
      <c r="B8" s="130"/>
      <c r="C8" s="130"/>
      <c r="D8" s="130"/>
      <c r="E8" s="59"/>
      <c r="F8" s="59"/>
      <c r="G8" s="59"/>
      <c r="H8" s="59"/>
      <c r="I8" s="59"/>
      <c r="J8" s="59"/>
      <c r="K8" s="59"/>
      <c r="L8" s="59"/>
      <c r="M8" s="134"/>
    </row>
    <row r="9" spans="1:15" ht="15.75" x14ac:dyDescent="0.25">
      <c r="A9" s="156" t="s">
        <v>117</v>
      </c>
      <c r="B9" s="130"/>
      <c r="C9" s="130"/>
      <c r="D9" s="130"/>
      <c r="E9" s="59"/>
      <c r="F9" s="59"/>
      <c r="G9" s="59"/>
      <c r="H9" s="59"/>
      <c r="I9" s="59"/>
      <c r="J9" s="59"/>
      <c r="K9" s="59"/>
      <c r="L9" s="59"/>
      <c r="M9" s="134"/>
    </row>
    <row r="10" spans="1:15" x14ac:dyDescent="0.25">
      <c r="A10" s="131" t="s">
        <v>131</v>
      </c>
      <c r="B10" s="130"/>
      <c r="C10" s="59">
        <f>'Project Cost'!B4</f>
        <v>1520000</v>
      </c>
      <c r="D10" s="130"/>
      <c r="E10" s="59">
        <f>C10-$C$10*'Acc Dep'!$B$19</f>
        <v>1368000</v>
      </c>
      <c r="F10" s="59"/>
      <c r="G10" s="59">
        <f>E10-$C$10*'Acc Dep'!$B$19</f>
        <v>1216000</v>
      </c>
      <c r="H10" s="59"/>
      <c r="I10" s="59">
        <f>G10-$C$10*'Acc Dep'!$B$19</f>
        <v>1064000</v>
      </c>
      <c r="J10" s="59"/>
      <c r="K10" s="59">
        <f>I10-$C$10*'Acc Dep'!$B$19</f>
        <v>912000</v>
      </c>
      <c r="L10" s="59"/>
      <c r="M10" s="134">
        <f>K10-$C$10*'Acc Dep'!$B$19</f>
        <v>760000</v>
      </c>
    </row>
    <row r="11" spans="1:15" x14ac:dyDescent="0.25">
      <c r="A11" s="131" t="s">
        <v>33</v>
      </c>
      <c r="B11" s="130"/>
      <c r="C11" s="59">
        <f>'Project Cost'!B5</f>
        <v>3813000</v>
      </c>
      <c r="D11" s="130"/>
      <c r="E11" s="59">
        <f>C11-$C$11*'Acc Dep'!$B$19</f>
        <v>3431700</v>
      </c>
      <c r="F11" s="59"/>
      <c r="G11" s="59">
        <f>E11-$C$11*'Acc Dep'!$B$19</f>
        <v>3050400</v>
      </c>
      <c r="H11" s="59"/>
      <c r="I11" s="59">
        <f>G11-$C$11*'Acc Dep'!$B$19</f>
        <v>2669100</v>
      </c>
      <c r="J11" s="59"/>
      <c r="K11" s="59">
        <f>I11-$C$11*'Acc Dep'!$B$19</f>
        <v>2287800</v>
      </c>
      <c r="L11" s="59"/>
      <c r="M11" s="134">
        <f>K11-$C$11*'Acc Dep'!$B$19</f>
        <v>1906500</v>
      </c>
      <c r="O11" s="55"/>
    </row>
    <row r="12" spans="1:15" x14ac:dyDescent="0.25">
      <c r="A12" s="131" t="s">
        <v>65</v>
      </c>
      <c r="B12" s="130"/>
      <c r="C12" s="59">
        <f>'Project Cost'!B6</f>
        <v>3116000</v>
      </c>
      <c r="D12" s="130"/>
      <c r="E12" s="59">
        <f>C12-$C$12*'Acc Dep'!$B$19</f>
        <v>2804400</v>
      </c>
      <c r="F12" s="59"/>
      <c r="G12" s="59">
        <f>E12-$C$12*'Acc Dep'!$B$19</f>
        <v>2492800</v>
      </c>
      <c r="H12" s="59"/>
      <c r="I12" s="59">
        <f>G12-$C$12*'Acc Dep'!$B$19</f>
        <v>2181200</v>
      </c>
      <c r="J12" s="59"/>
      <c r="K12" s="59">
        <f>I12-$C$12*'Acc Dep'!$B$19</f>
        <v>1869600</v>
      </c>
      <c r="L12" s="59"/>
      <c r="M12" s="134">
        <f>K12-$C$12*'Acc Dep'!$B$19</f>
        <v>1558000</v>
      </c>
      <c r="O12" s="55"/>
    </row>
    <row r="13" spans="1:15" x14ac:dyDescent="0.25">
      <c r="A13" s="131" t="s">
        <v>113</v>
      </c>
      <c r="B13" s="130"/>
      <c r="C13" s="59">
        <f>'Project Cost'!$B$7</f>
        <v>1200000</v>
      </c>
      <c r="D13" s="130"/>
      <c r="E13" s="59">
        <f>'Project Cost'!$B$7</f>
        <v>1200000</v>
      </c>
      <c r="F13" s="59"/>
      <c r="G13" s="59">
        <f>'Project Cost'!$B$7</f>
        <v>1200000</v>
      </c>
      <c r="H13" s="59"/>
      <c r="I13" s="59">
        <f>'Project Cost'!$B$7</f>
        <v>1200000</v>
      </c>
      <c r="J13" s="59"/>
      <c r="K13" s="59">
        <f>'Project Cost'!$B$7</f>
        <v>1200000</v>
      </c>
      <c r="L13" s="59"/>
      <c r="M13" s="134">
        <f>'Project Cost'!$B$7</f>
        <v>1200000</v>
      </c>
    </row>
    <row r="14" spans="1:15" x14ac:dyDescent="0.25">
      <c r="A14" s="158" t="s">
        <v>45</v>
      </c>
      <c r="B14" s="159"/>
      <c r="C14" s="160">
        <f>SUM(C10:C13)</f>
        <v>9649000</v>
      </c>
      <c r="D14" s="159"/>
      <c r="E14" s="162">
        <f>SUM(E10:E13)</f>
        <v>8804100</v>
      </c>
      <c r="F14" s="162"/>
      <c r="G14" s="162">
        <f>SUM(G10:G13)</f>
        <v>7959200</v>
      </c>
      <c r="H14" s="162"/>
      <c r="I14" s="162">
        <f>SUM(I10:I13)</f>
        <v>7114300</v>
      </c>
      <c r="J14" s="162"/>
      <c r="K14" s="162">
        <f>SUM(K10:K13)</f>
        <v>6269400</v>
      </c>
      <c r="L14" s="162"/>
      <c r="M14" s="163">
        <f>SUM(M10:M13)</f>
        <v>5424500</v>
      </c>
    </row>
    <row r="15" spans="1:15" ht="15.75" thickBot="1" x14ac:dyDescent="0.3">
      <c r="A15" s="131"/>
      <c r="B15" s="130"/>
      <c r="C15" s="130"/>
      <c r="D15" s="130"/>
      <c r="E15" s="59"/>
      <c r="F15" s="59"/>
      <c r="G15" s="59"/>
      <c r="H15" s="59"/>
      <c r="I15" s="59"/>
      <c r="J15" s="59"/>
      <c r="K15" s="59"/>
      <c r="L15" s="59"/>
      <c r="M15" s="134"/>
    </row>
    <row r="16" spans="1:15" s="6" customFormat="1" ht="16.5" thickBot="1" x14ac:dyDescent="0.3">
      <c r="A16" s="199" t="s">
        <v>118</v>
      </c>
      <c r="B16" s="200"/>
      <c r="C16" s="201">
        <f>SUM(C14,C7)</f>
        <v>18549000</v>
      </c>
      <c r="D16" s="200"/>
      <c r="E16" s="202">
        <f>SUM(E14,E7)</f>
        <v>8804100</v>
      </c>
      <c r="F16" s="202"/>
      <c r="G16" s="202">
        <f>SUM(G14,G7)</f>
        <v>7959200</v>
      </c>
      <c r="H16" s="202"/>
      <c r="I16" s="202">
        <f>SUM(I14,I7)</f>
        <v>10580582.898108125</v>
      </c>
      <c r="J16" s="202"/>
      <c r="K16" s="202">
        <f>SUM(K14,K7)</f>
        <v>15903778.429658126</v>
      </c>
      <c r="L16" s="202"/>
      <c r="M16" s="203">
        <f>SUM(M14,M7)</f>
        <v>23269530.859642126</v>
      </c>
    </row>
    <row r="17" spans="1:13" x14ac:dyDescent="0.25">
      <c r="A17" s="131"/>
      <c r="B17" s="130"/>
      <c r="C17" s="130"/>
      <c r="D17" s="130"/>
      <c r="E17" s="59"/>
      <c r="F17" s="59"/>
      <c r="G17" s="59"/>
      <c r="H17" s="59"/>
      <c r="I17" s="59"/>
      <c r="J17" s="59"/>
      <c r="K17" s="59"/>
      <c r="L17" s="59"/>
      <c r="M17" s="134"/>
    </row>
    <row r="18" spans="1:13" ht="15.75" x14ac:dyDescent="0.25">
      <c r="A18" s="156" t="s">
        <v>119</v>
      </c>
      <c r="B18" s="130"/>
      <c r="C18" s="130"/>
      <c r="D18" s="130"/>
      <c r="E18" s="59"/>
      <c r="F18" s="59"/>
      <c r="G18" s="59"/>
      <c r="H18" s="59"/>
      <c r="I18" s="59"/>
      <c r="J18" s="59"/>
      <c r="K18" s="59"/>
      <c r="L18" s="59"/>
      <c r="M18" s="134"/>
    </row>
    <row r="19" spans="1:13" x14ac:dyDescent="0.25">
      <c r="A19" s="131" t="s">
        <v>120</v>
      </c>
      <c r="B19" s="130"/>
      <c r="C19" s="59">
        <v>0</v>
      </c>
      <c r="D19" s="130"/>
      <c r="E19" s="59">
        <v>0</v>
      </c>
      <c r="F19" s="59"/>
      <c r="G19" s="59">
        <v>0</v>
      </c>
      <c r="H19" s="59"/>
      <c r="I19" s="59">
        <v>0</v>
      </c>
      <c r="J19" s="59"/>
      <c r="K19" s="59">
        <v>0</v>
      </c>
      <c r="L19" s="59"/>
      <c r="M19" s="134">
        <v>0</v>
      </c>
    </row>
    <row r="20" spans="1:13" x14ac:dyDescent="0.25">
      <c r="A20" s="131" t="s">
        <v>121</v>
      </c>
      <c r="B20" s="130"/>
      <c r="C20" s="59">
        <v>0</v>
      </c>
      <c r="D20" s="130"/>
      <c r="E20" s="59">
        <v>0</v>
      </c>
      <c r="F20" s="59"/>
      <c r="G20" s="59">
        <v>0</v>
      </c>
      <c r="H20" s="59"/>
      <c r="I20" s="59">
        <v>0</v>
      </c>
      <c r="J20" s="59"/>
      <c r="K20" s="59">
        <v>0</v>
      </c>
      <c r="L20" s="59"/>
      <c r="M20" s="134">
        <v>0</v>
      </c>
    </row>
    <row r="21" spans="1:13" x14ac:dyDescent="0.25">
      <c r="A21" s="131" t="s">
        <v>155</v>
      </c>
      <c r="B21" s="130"/>
      <c r="C21" s="59">
        <v>0</v>
      </c>
      <c r="D21" s="130"/>
      <c r="E21" s="59">
        <f>-'Cash Flow Statement'!C13</f>
        <v>1386896.375</v>
      </c>
      <c r="F21" s="59"/>
      <c r="G21" s="59">
        <f>-'Cash Flow Statement'!D13</f>
        <v>631202.86624999903</v>
      </c>
      <c r="H21" s="59"/>
      <c r="I21" s="59"/>
      <c r="J21" s="59"/>
      <c r="K21" s="59">
        <v>0</v>
      </c>
      <c r="L21" s="59"/>
      <c r="M21" s="134">
        <v>0</v>
      </c>
    </row>
    <row r="22" spans="1:13" x14ac:dyDescent="0.25">
      <c r="A22" s="131" t="s">
        <v>116</v>
      </c>
      <c r="B22" s="130"/>
      <c r="C22" s="161">
        <v>0</v>
      </c>
      <c r="D22" s="130"/>
      <c r="E22" s="59">
        <v>0</v>
      </c>
      <c r="F22" s="59"/>
      <c r="G22" s="59">
        <v>0</v>
      </c>
      <c r="H22" s="59"/>
      <c r="I22" s="59">
        <v>0</v>
      </c>
      <c r="J22" s="59"/>
      <c r="K22" s="59">
        <v>0</v>
      </c>
      <c r="L22" s="59"/>
      <c r="M22" s="134">
        <v>0</v>
      </c>
    </row>
    <row r="23" spans="1:13" x14ac:dyDescent="0.25">
      <c r="A23" s="158" t="s">
        <v>45</v>
      </c>
      <c r="B23" s="159"/>
      <c r="C23" s="162">
        <v>0</v>
      </c>
      <c r="D23" s="159"/>
      <c r="E23" s="162">
        <f>SUM(E19:E22)</f>
        <v>1386896.375</v>
      </c>
      <c r="F23" s="162"/>
      <c r="G23" s="162">
        <f>SUM(G19:G22)</f>
        <v>631202.86624999903</v>
      </c>
      <c r="H23" s="162"/>
      <c r="I23" s="162">
        <f>SUM(I19:I22)</f>
        <v>0</v>
      </c>
      <c r="J23" s="162"/>
      <c r="K23" s="162">
        <f>SUM(K19:K22)</f>
        <v>0</v>
      </c>
      <c r="L23" s="162"/>
      <c r="M23" s="163">
        <f>SUM(M19:M22)</f>
        <v>0</v>
      </c>
    </row>
    <row r="24" spans="1:13" x14ac:dyDescent="0.25">
      <c r="A24" s="131"/>
      <c r="B24" s="130"/>
      <c r="C24" s="59"/>
      <c r="D24" s="130"/>
      <c r="E24" s="59"/>
      <c r="F24" s="59"/>
      <c r="G24" s="59"/>
      <c r="H24" s="59"/>
      <c r="I24" s="59"/>
      <c r="J24" s="59"/>
      <c r="K24" s="59"/>
      <c r="L24" s="59"/>
      <c r="M24" s="134"/>
    </row>
    <row r="25" spans="1:13" ht="15.75" x14ac:dyDescent="0.25">
      <c r="A25" s="156" t="s">
        <v>207</v>
      </c>
      <c r="B25" s="130"/>
      <c r="C25" s="59"/>
      <c r="D25" s="130"/>
      <c r="E25" s="59"/>
      <c r="F25" s="59"/>
      <c r="G25" s="59"/>
      <c r="H25" s="59"/>
      <c r="I25" s="59"/>
      <c r="J25" s="59"/>
      <c r="K25" s="59"/>
      <c r="L25" s="59"/>
      <c r="M25" s="134"/>
    </row>
    <row r="26" spans="1:13" x14ac:dyDescent="0.25">
      <c r="A26" s="131" t="s">
        <v>50</v>
      </c>
      <c r="B26" s="130"/>
      <c r="C26" s="161">
        <v>0</v>
      </c>
      <c r="D26" s="130"/>
      <c r="E26" s="59">
        <v>0</v>
      </c>
      <c r="F26" s="59"/>
      <c r="G26" s="59">
        <v>0</v>
      </c>
      <c r="H26" s="59"/>
      <c r="I26" s="59">
        <v>0</v>
      </c>
      <c r="J26" s="59"/>
      <c r="K26" s="59">
        <v>0</v>
      </c>
      <c r="L26" s="59"/>
      <c r="M26" s="134">
        <v>0</v>
      </c>
    </row>
    <row r="27" spans="1:13" x14ac:dyDescent="0.25">
      <c r="A27" s="158" t="s">
        <v>45</v>
      </c>
      <c r="B27" s="159"/>
      <c r="C27" s="162">
        <f>SUM(C26)</f>
        <v>0</v>
      </c>
      <c r="D27" s="159"/>
      <c r="E27" s="162">
        <f>SUM(E26)</f>
        <v>0</v>
      </c>
      <c r="F27" s="162"/>
      <c r="G27" s="162">
        <f>SUM(G26)</f>
        <v>0</v>
      </c>
      <c r="H27" s="162"/>
      <c r="I27" s="162">
        <f>SUM(I26)</f>
        <v>0</v>
      </c>
      <c r="J27" s="162"/>
      <c r="K27" s="162">
        <f>SUM(K26)</f>
        <v>0</v>
      </c>
      <c r="L27" s="162"/>
      <c r="M27" s="163">
        <f>SUM(M26)</f>
        <v>0</v>
      </c>
    </row>
    <row r="28" spans="1:13" x14ac:dyDescent="0.25">
      <c r="A28" s="131"/>
      <c r="B28" s="130"/>
      <c r="C28" s="59"/>
      <c r="D28" s="130"/>
      <c r="E28" s="59"/>
      <c r="F28" s="59"/>
      <c r="G28" s="59"/>
      <c r="H28" s="59"/>
      <c r="I28" s="59"/>
      <c r="J28" s="59"/>
      <c r="K28" s="59"/>
      <c r="L28" s="59"/>
      <c r="M28" s="134"/>
    </row>
    <row r="29" spans="1:13" ht="15.75" x14ac:dyDescent="0.25">
      <c r="A29" s="156" t="s">
        <v>122</v>
      </c>
      <c r="B29" s="130"/>
      <c r="C29" s="59"/>
      <c r="D29" s="130"/>
      <c r="E29" s="59"/>
      <c r="F29" s="59"/>
      <c r="G29" s="59"/>
      <c r="H29" s="59"/>
      <c r="I29" s="59"/>
      <c r="J29" s="59"/>
      <c r="K29" s="59"/>
      <c r="L29" s="59"/>
      <c r="M29" s="134"/>
    </row>
    <row r="30" spans="1:13" x14ac:dyDescent="0.25">
      <c r="A30" s="131" t="s">
        <v>123</v>
      </c>
      <c r="B30" s="130"/>
      <c r="C30" s="59">
        <f>'Project Cost'!$C$12</f>
        <v>18549000</v>
      </c>
      <c r="D30" s="130"/>
      <c r="E30" s="59">
        <f>'Project Cost'!$C$12</f>
        <v>18549000</v>
      </c>
      <c r="F30" s="59"/>
      <c r="G30" s="59">
        <f>'Project Cost'!$C$12</f>
        <v>18549000</v>
      </c>
      <c r="H30" s="59"/>
      <c r="I30" s="59">
        <f>'Project Cost'!$C$12</f>
        <v>18549000</v>
      </c>
      <c r="J30" s="59"/>
      <c r="K30" s="59">
        <f>'Project Cost'!$C$12</f>
        <v>18549000</v>
      </c>
      <c r="L30" s="59"/>
      <c r="M30" s="134">
        <f>'Project Cost'!$C$12</f>
        <v>18549000</v>
      </c>
    </row>
    <row r="31" spans="1:13" x14ac:dyDescent="0.25">
      <c r="A31" s="131" t="s">
        <v>124</v>
      </c>
      <c r="B31" s="130"/>
      <c r="C31" s="59">
        <v>0</v>
      </c>
      <c r="D31" s="130"/>
      <c r="E31" s="59">
        <f>'Income Statement'!C36</f>
        <v>-11131796.375</v>
      </c>
      <c r="F31" s="59"/>
      <c r="G31" s="59">
        <f>E31+'Income Statement'!D36</f>
        <v>-11221002.866249999</v>
      </c>
      <c r="H31" s="59"/>
      <c r="I31" s="59">
        <f>G31+'Income Statement'!E36</f>
        <v>-7968417.1018918753</v>
      </c>
      <c r="J31" s="59"/>
      <c r="K31" s="59">
        <f>I31+'Income Statement'!F36</f>
        <v>-2645221.5703418739</v>
      </c>
      <c r="L31" s="59"/>
      <c r="M31" s="134">
        <f>K31+'Income Statement'!G36</f>
        <v>4720530.8596421257</v>
      </c>
    </row>
    <row r="32" spans="1:13" x14ac:dyDescent="0.25">
      <c r="A32" s="158" t="s">
        <v>45</v>
      </c>
      <c r="B32" s="159"/>
      <c r="C32" s="162">
        <f>SUM(C30:C31)</f>
        <v>18549000</v>
      </c>
      <c r="D32" s="159"/>
      <c r="E32" s="162">
        <f>SUM(E30:E31)</f>
        <v>7417203.625</v>
      </c>
      <c r="F32" s="162"/>
      <c r="G32" s="162">
        <f>SUM(G30:G31)</f>
        <v>7327997.133750001</v>
      </c>
      <c r="H32" s="162"/>
      <c r="I32" s="162">
        <f>SUM(I30:I31)</f>
        <v>10580582.898108125</v>
      </c>
      <c r="J32" s="162"/>
      <c r="K32" s="162">
        <f>SUM(K30:K31)</f>
        <v>15903778.429658126</v>
      </c>
      <c r="L32" s="162"/>
      <c r="M32" s="163">
        <f>SUM(M30:M31)</f>
        <v>23269530.859642126</v>
      </c>
    </row>
    <row r="33" spans="1:13" ht="15.75" thickBot="1" x14ac:dyDescent="0.3">
      <c r="A33" s="131"/>
      <c r="B33" s="130"/>
      <c r="C33" s="59"/>
      <c r="D33" s="130"/>
      <c r="E33" s="59"/>
      <c r="F33" s="59"/>
      <c r="G33" s="59"/>
      <c r="H33" s="59"/>
      <c r="I33" s="59"/>
      <c r="J33" s="59"/>
      <c r="K33" s="59"/>
      <c r="L33" s="59"/>
      <c r="M33" s="134"/>
    </row>
    <row r="34" spans="1:13" s="6" customFormat="1" ht="16.5" thickBot="1" x14ac:dyDescent="0.3">
      <c r="A34" s="199" t="s">
        <v>125</v>
      </c>
      <c r="B34" s="200"/>
      <c r="C34" s="202">
        <f>SUM(C32,C27,C23)</f>
        <v>18549000</v>
      </c>
      <c r="D34" s="200"/>
      <c r="E34" s="202">
        <f>SUM(E32,E27,E23)</f>
        <v>8804100</v>
      </c>
      <c r="F34" s="202"/>
      <c r="G34" s="202">
        <f>SUM(G32,G27,G23)</f>
        <v>7959200</v>
      </c>
      <c r="H34" s="202"/>
      <c r="I34" s="202">
        <f>SUM(I32,I27,I23)</f>
        <v>10580582.898108125</v>
      </c>
      <c r="J34" s="202"/>
      <c r="K34" s="202">
        <f>SUM(K32,K27,K23)</f>
        <v>15903778.429658126</v>
      </c>
      <c r="L34" s="202"/>
      <c r="M34" s="203">
        <f>SUM(M32,M27,M23)</f>
        <v>23269530.859642126</v>
      </c>
    </row>
  </sheetData>
  <mergeCells count="2">
    <mergeCell ref="A1:M1"/>
    <mergeCell ref="A2: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Area, Building</vt:lpstr>
      <vt:lpstr>Fee Structure</vt:lpstr>
      <vt:lpstr>Project Cost</vt:lpstr>
      <vt:lpstr>Fixed Assets</vt:lpstr>
      <vt:lpstr>Acc Dep</vt:lpstr>
      <vt:lpstr>Revenues</vt:lpstr>
      <vt:lpstr>Salary</vt:lpstr>
      <vt:lpstr>Income Statement</vt:lpstr>
      <vt:lpstr>Balance Sheet</vt:lpstr>
      <vt:lpstr>Cash Flow Statement</vt:lpstr>
      <vt:lpstr>PBP &amp; IRR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2017-03-28T09:21:08Z</dcterms:modified>
</cp:coreProperties>
</file>